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ПГГ 2025\Проект ПГГ 2025-2027\на вывешивание\Филиппову\"/>
    </mc:Choice>
  </mc:AlternateContent>
  <xr:revisionPtr revIDLastSave="0" documentId="8_{E634D0C5-9D1A-4547-B656-880E0EEC6350}" xr6:coauthVersionLast="36" xr6:coauthVersionMax="36" xr10:uidLastSave="{00000000-0000-0000-0000-000000000000}"/>
  <bookViews>
    <workbookView xWindow="-120" yWindow="-120" windowWidth="29040" windowHeight="15840" firstSheet="13" activeTab="13" xr2:uid="{00000000-000D-0000-FFFF-FFFF00000000}"/>
  </bookViews>
  <sheets>
    <sheet name="62 форма 2000" sheetId="1" state="hidden" r:id="rId1"/>
    <sheet name="ФГУ 5 мес.2024 и 2023" sheetId="74" state="hidden" r:id="rId2"/>
    <sheet name="Репродуктивное" sheetId="48" state="hidden" r:id="rId3"/>
    <sheet name="!!! Фин обеспечение коротко +++" sheetId="40" state="hidden" r:id="rId4"/>
    <sheet name="!!!!Сравнение" sheetId="64" state="hidden" r:id="rId5"/>
    <sheet name="Индексация 2353 с уч роста зп" sheetId="66" state="hidden" r:id="rId6"/>
    <sheet name="Четвертый вариант ФГУ" sheetId="65" state="hidden" r:id="rId7"/>
    <sheet name="6 мес 2024 ТПГГ" sheetId="47" state="hidden" r:id="rId8"/>
    <sheet name="Обращения" sheetId="67" state="hidden" r:id="rId9"/>
    <sheet name="Центры здоровья" sheetId="68" state="hidden" r:id="rId10"/>
    <sheet name="СМП" sheetId="45" state="hidden" r:id="rId11"/>
    <sheet name="Прирост коротко" sheetId="43" state="hidden" r:id="rId12"/>
    <sheet name="Прирост" sheetId="42" state="hidden" r:id="rId13"/>
    <sheet name="Приложение 2 " sheetId="58" r:id="rId14"/>
    <sheet name="Дисп и ПМО без факта" sheetId="72" state="hidden" r:id="rId15"/>
    <sheet name="Репродуктивное зд" sheetId="71" state="hidden" r:id="rId16"/>
    <sheet name="!!!Для доклада коротко" sheetId="51" state="hidden" r:id="rId17"/>
    <sheet name="Показатели" sheetId="53" state="hidden" r:id="rId18"/>
    <sheet name="Для Председателя сравнение" sheetId="39" state="hidden" r:id="rId19"/>
    <sheet name="НФЗ и БС" sheetId="46" state="hidden" r:id="rId20"/>
    <sheet name="Перс пом нов" sheetId="56" state="hidden" r:id="rId21"/>
    <sheet name="Макроэкономические показатели" sheetId="7" state="hidden" r:id="rId22"/>
    <sheet name="сравнение с ПГГ 2022" sheetId="18" state="hidden" r:id="rId23"/>
    <sheet name="Школа СД" sheetId="50" state="hidden" r:id="rId24"/>
    <sheet name="62 форма 9000 Доли" sheetId="6" state="hidden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4" hidden="1">'!!!!Сравнение'!$A$9:$L$83</definedName>
    <definedName name="_xlnm._FilterDatabase" localSheetId="22" hidden="1">'сравнение с ПГГ 2022'!$A$4:$I$55</definedName>
    <definedName name="ID_5373923" localSheetId="24">'62 форма 9000 Доли'!$L$39</definedName>
    <definedName name="ID_5373924" localSheetId="24">'62 форма 9000 Доли'!$H$40</definedName>
    <definedName name="ID_9003604" localSheetId="24">'62 форма 9000 Доли'!$I$42</definedName>
    <definedName name="аа" localSheetId="1">'[1]Приложение 2 '!#REF!</definedName>
    <definedName name="аа">'Приложение 2 '!#REF!</definedName>
    <definedName name="_xlnm.Print_Titles" localSheetId="4">'!!!!Сравнение'!$6:$9</definedName>
    <definedName name="_xlnm.Print_Titles" localSheetId="16">'!!!Для доклада коротко'!$6:$9</definedName>
    <definedName name="_xlnm.Print_Titles" localSheetId="18">'Для Председателя сравнение'!$6:$9</definedName>
    <definedName name="_xlnm.Print_Titles" localSheetId="5">'Индексация 2353 с уч роста зп'!$6:$9</definedName>
    <definedName name="_xlnm.Print_Titles" localSheetId="13">'Приложение 2 '!$3:$4</definedName>
    <definedName name="ке">'Приложение 2 '!$L$2</definedName>
    <definedName name="лл" localSheetId="1">'[1]Приложение 2 '!#REF!</definedName>
    <definedName name="лл">'Приложение 2 '!#REF!</definedName>
    <definedName name="_xlnm.Print_Area" localSheetId="4">'!!!!Сравнение'!$A$1:$P$83</definedName>
    <definedName name="_xlnm.Print_Area" localSheetId="5">'Индексация 2353 с уч роста зп'!$A$6:$AL$73</definedName>
    <definedName name="_xlnm.Print_Area" localSheetId="19">'НФЗ и БС'!$A$1:$T$16</definedName>
    <definedName name="_xlnm.Print_Area" localSheetId="13">'Приложение 2 '!$A$1:$K$88</definedName>
    <definedName name="оо" localSheetId="1">'[1]Приложение 2 '!#REF!</definedName>
    <definedName name="оо">'Приложение 2 '!#REF!</definedName>
    <definedName name="пп" localSheetId="1">'[1]Приложение 2 '!#REF!</definedName>
    <definedName name="пп">'Приложение 2 '!#REF!</definedName>
  </definedNames>
  <calcPr calcId="191029"/>
</workbook>
</file>

<file path=xl/calcChain.xml><?xml version="1.0" encoding="utf-8"?>
<calcChain xmlns="http://schemas.openxmlformats.org/spreadsheetml/2006/main">
  <c r="A64" i="64" l="1"/>
  <c r="B64" i="64"/>
  <c r="C64" i="64"/>
  <c r="E64" i="64"/>
  <c r="G64" i="64"/>
  <c r="A65" i="64"/>
  <c r="B65" i="64"/>
  <c r="C65" i="64"/>
  <c r="D65" i="64"/>
  <c r="I65" i="64" s="1"/>
  <c r="E65" i="64"/>
  <c r="F65" i="64"/>
  <c r="G65" i="64"/>
  <c r="A66" i="64"/>
  <c r="B66" i="64"/>
  <c r="E66" i="64"/>
  <c r="F64" i="64"/>
  <c r="D64" i="64"/>
  <c r="I64" i="64" l="1"/>
  <c r="M8" i="72"/>
  <c r="M7" i="72"/>
  <c r="H65" i="64" l="1"/>
  <c r="K65" i="64" s="1"/>
  <c r="C38" i="74"/>
  <c r="C37" i="74"/>
  <c r="F32" i="74" s="1"/>
  <c r="C34" i="74"/>
  <c r="D34" i="74" s="1"/>
  <c r="B34" i="74"/>
  <c r="D33" i="74"/>
  <c r="C32" i="74"/>
  <c r="D32" i="74" s="1"/>
  <c r="B32" i="74"/>
  <c r="D31" i="74"/>
  <c r="D30" i="74"/>
  <c r="D28" i="74"/>
  <c r="C27" i="74"/>
  <c r="D27" i="74" s="1"/>
  <c r="B27" i="74"/>
  <c r="D26" i="74"/>
  <c r="D25" i="74"/>
  <c r="D24" i="74"/>
  <c r="C20" i="74"/>
  <c r="C19" i="74"/>
  <c r="C13" i="74"/>
  <c r="D13" i="74" s="1"/>
  <c r="B13" i="74"/>
  <c r="F13" i="74" s="1"/>
  <c r="F12" i="74"/>
  <c r="D12" i="74"/>
  <c r="C11" i="74"/>
  <c r="D11" i="74" s="1"/>
  <c r="B11" i="74"/>
  <c r="F11" i="74" s="1"/>
  <c r="F10" i="74"/>
  <c r="D10" i="74"/>
  <c r="F9" i="74"/>
  <c r="D9" i="74"/>
  <c r="F7" i="74"/>
  <c r="D7" i="74"/>
  <c r="F6" i="74"/>
  <c r="D6" i="74"/>
  <c r="C6" i="74"/>
  <c r="B6" i="74"/>
  <c r="F5" i="74"/>
  <c r="D5" i="74"/>
  <c r="F4" i="74"/>
  <c r="D4" i="74"/>
  <c r="F3" i="74"/>
  <c r="D3" i="74"/>
  <c r="H64" i="64" l="1"/>
  <c r="K64" i="64" s="1"/>
  <c r="G5" i="74"/>
  <c r="F26" i="74"/>
  <c r="E12" i="74"/>
  <c r="F27" i="74"/>
  <c r="F33" i="74"/>
  <c r="E11" i="74"/>
  <c r="G12" i="74"/>
  <c r="E27" i="74"/>
  <c r="F34" i="74"/>
  <c r="E33" i="74"/>
  <c r="E6" i="74"/>
  <c r="G13" i="74"/>
  <c r="E28" i="74"/>
  <c r="E34" i="74"/>
  <c r="F30" i="74"/>
  <c r="E13" i="74"/>
  <c r="G7" i="74"/>
  <c r="E3" i="74"/>
  <c r="E9" i="74"/>
  <c r="E24" i="74"/>
  <c r="E31" i="74"/>
  <c r="G3" i="74"/>
  <c r="G9" i="74"/>
  <c r="F24" i="74"/>
  <c r="F31" i="74"/>
  <c r="G6" i="74"/>
  <c r="E30" i="74"/>
  <c r="E4" i="74"/>
  <c r="E10" i="74"/>
  <c r="E25" i="74"/>
  <c r="F28" i="74"/>
  <c r="G4" i="74"/>
  <c r="G10" i="74"/>
  <c r="F25" i="74"/>
  <c r="E32" i="74"/>
  <c r="E7" i="74"/>
  <c r="E5" i="74"/>
  <c r="G11" i="74"/>
  <c r="E26" i="74"/>
  <c r="P65" i="64" l="1"/>
  <c r="P64" i="64"/>
  <c r="M65" i="64"/>
  <c r="M64" i="64"/>
  <c r="N65" i="64" l="1"/>
  <c r="N64" i="64"/>
  <c r="O65" i="64"/>
  <c r="O64" i="64"/>
  <c r="A61" i="64" l="1"/>
  <c r="B61" i="64"/>
  <c r="C61" i="64"/>
  <c r="E61" i="64"/>
  <c r="G61" i="64"/>
  <c r="A62" i="64"/>
  <c r="B62" i="64"/>
  <c r="C62" i="64"/>
  <c r="D62" i="64"/>
  <c r="E62" i="64"/>
  <c r="F62" i="64"/>
  <c r="G62" i="64"/>
  <c r="A63" i="64"/>
  <c r="B63" i="64"/>
  <c r="C63" i="64"/>
  <c r="D63" i="64"/>
  <c r="I63" i="64" s="1"/>
  <c r="E63" i="64"/>
  <c r="F63" i="64"/>
  <c r="G63" i="64"/>
  <c r="C12" i="72"/>
  <c r="E9" i="72"/>
  <c r="C9" i="72"/>
  <c r="B9" i="72"/>
  <c r="K8" i="72"/>
  <c r="H8" i="72"/>
  <c r="I8" i="72"/>
  <c r="L8" i="72" s="1"/>
  <c r="H7" i="72"/>
  <c r="K7" i="72" s="1"/>
  <c r="G7" i="72"/>
  <c r="D61" i="64"/>
  <c r="I62" i="64" l="1"/>
  <c r="H63" i="64"/>
  <c r="K63" i="64" s="1"/>
  <c r="I61" i="64"/>
  <c r="I7" i="72"/>
  <c r="J7" i="72"/>
  <c r="F9" i="72"/>
  <c r="J9" i="72" s="1"/>
  <c r="G8" i="72"/>
  <c r="G9" i="72" s="1"/>
  <c r="J8" i="72"/>
  <c r="I24" i="71"/>
  <c r="H24" i="71"/>
  <c r="I23" i="71"/>
  <c r="I21" i="71"/>
  <c r="I22" i="71" s="1"/>
  <c r="H21" i="71"/>
  <c r="H23" i="71" s="1"/>
  <c r="L5" i="71"/>
  <c r="M5" i="71" s="1"/>
  <c r="N5" i="71" s="1"/>
  <c r="L2" i="71"/>
  <c r="M2" i="71" s="1"/>
  <c r="N2" i="71" s="1"/>
  <c r="F61" i="64" l="1"/>
  <c r="I9" i="72"/>
  <c r="L9" i="72" s="1"/>
  <c r="L7" i="72"/>
  <c r="H22" i="71"/>
  <c r="P63" i="64" l="1"/>
  <c r="M63" i="64"/>
  <c r="H62" i="64" l="1"/>
  <c r="K62" i="64" s="1"/>
  <c r="H61" i="64" l="1"/>
  <c r="K61" i="64" s="1"/>
  <c r="O11" i="64"/>
  <c r="P11" i="64"/>
  <c r="N11" i="64"/>
  <c r="M62" i="64" l="1"/>
  <c r="P62" i="64"/>
  <c r="P61" i="64" l="1"/>
  <c r="M61" i="64"/>
  <c r="O62" i="64"/>
  <c r="N62" i="64"/>
  <c r="J69" i="64" l="1"/>
  <c r="P69" i="64"/>
  <c r="O69" i="64"/>
  <c r="N69" i="64"/>
  <c r="M69" i="64"/>
  <c r="M11" i="64"/>
  <c r="G22" i="64" l="1"/>
  <c r="I69" i="64"/>
  <c r="K69" i="64"/>
  <c r="L69" i="64"/>
  <c r="I11" i="64"/>
  <c r="K11" i="64"/>
  <c r="L11" i="64"/>
  <c r="E76" i="64"/>
  <c r="B76" i="64"/>
  <c r="A76" i="64"/>
  <c r="E75" i="64"/>
  <c r="C75" i="64"/>
  <c r="B75" i="64"/>
  <c r="A75" i="64"/>
  <c r="E74" i="64"/>
  <c r="B74" i="64"/>
  <c r="A74" i="64"/>
  <c r="E73" i="64"/>
  <c r="B73" i="64"/>
  <c r="A73" i="64"/>
  <c r="E72" i="64"/>
  <c r="C72" i="64"/>
  <c r="B72" i="64"/>
  <c r="A72" i="64"/>
  <c r="E71" i="64"/>
  <c r="B71" i="64"/>
  <c r="A71" i="64"/>
  <c r="E70" i="64"/>
  <c r="B70" i="64"/>
  <c r="A70" i="64"/>
  <c r="H69" i="64"/>
  <c r="G69" i="64"/>
  <c r="F69" i="64"/>
  <c r="E69" i="64"/>
  <c r="D69" i="64"/>
  <c r="C69" i="64"/>
  <c r="B69" i="64"/>
  <c r="A69" i="64"/>
  <c r="G68" i="64"/>
  <c r="E68" i="64"/>
  <c r="B68" i="64"/>
  <c r="A68" i="64"/>
  <c r="E67" i="64"/>
  <c r="B67" i="64"/>
  <c r="A67" i="64"/>
  <c r="G60" i="64"/>
  <c r="E60" i="64"/>
  <c r="C60" i="64"/>
  <c r="B60" i="64"/>
  <c r="A60" i="64"/>
  <c r="G59" i="64"/>
  <c r="E59" i="64"/>
  <c r="D59" i="64"/>
  <c r="C59" i="64"/>
  <c r="B59" i="64"/>
  <c r="A59" i="64"/>
  <c r="D58" i="64"/>
  <c r="C58" i="64"/>
  <c r="B58" i="64"/>
  <c r="A58" i="64"/>
  <c r="B57" i="64"/>
  <c r="A57" i="64"/>
  <c r="E56" i="64"/>
  <c r="B56" i="64"/>
  <c r="A56" i="64"/>
  <c r="E55" i="64"/>
  <c r="C55" i="64"/>
  <c r="B55" i="64"/>
  <c r="A55" i="64"/>
  <c r="E54" i="64"/>
  <c r="B54" i="64"/>
  <c r="A54" i="64"/>
  <c r="E53" i="64"/>
  <c r="B53" i="64"/>
  <c r="A53" i="64"/>
  <c r="E52" i="64"/>
  <c r="C52" i="64"/>
  <c r="B52" i="64"/>
  <c r="A52" i="64"/>
  <c r="E51" i="64"/>
  <c r="B51" i="64"/>
  <c r="A51" i="64"/>
  <c r="E50" i="64"/>
  <c r="C50" i="64"/>
  <c r="B50" i="64"/>
  <c r="A50" i="64"/>
  <c r="E49" i="64"/>
  <c r="B49" i="64"/>
  <c r="A49" i="64"/>
  <c r="E48" i="64"/>
  <c r="B48" i="64"/>
  <c r="A48" i="64"/>
  <c r="E47" i="64"/>
  <c r="D47" i="64"/>
  <c r="C47" i="64"/>
  <c r="B47" i="64"/>
  <c r="A47" i="64"/>
  <c r="E46" i="64"/>
  <c r="C46" i="64"/>
  <c r="B46" i="64"/>
  <c r="A46" i="64"/>
  <c r="E45" i="64"/>
  <c r="B45" i="64"/>
  <c r="A45" i="64"/>
  <c r="E44" i="64"/>
  <c r="C44" i="64"/>
  <c r="B44" i="64"/>
  <c r="A44" i="64"/>
  <c r="E43" i="64"/>
  <c r="B43" i="64"/>
  <c r="A43" i="64"/>
  <c r="E42" i="64"/>
  <c r="B42" i="64"/>
  <c r="A42" i="64"/>
  <c r="E41" i="64"/>
  <c r="C41" i="64"/>
  <c r="B41" i="64"/>
  <c r="A41" i="64"/>
  <c r="E40" i="64"/>
  <c r="B40" i="64"/>
  <c r="A40" i="64"/>
  <c r="E39" i="64"/>
  <c r="B39" i="64"/>
  <c r="A39" i="64"/>
  <c r="E38" i="64"/>
  <c r="C38" i="64"/>
  <c r="B38" i="64"/>
  <c r="A38" i="64"/>
  <c r="E37" i="64"/>
  <c r="B37" i="64"/>
  <c r="A37" i="64"/>
  <c r="G36" i="64"/>
  <c r="D36" i="64"/>
  <c r="C36" i="64"/>
  <c r="B36" i="64"/>
  <c r="A36" i="64"/>
  <c r="E35" i="64"/>
  <c r="C35" i="64"/>
  <c r="B35" i="64"/>
  <c r="A35" i="64"/>
  <c r="E34" i="64"/>
  <c r="C34" i="64"/>
  <c r="B34" i="64"/>
  <c r="A34" i="64"/>
  <c r="E33" i="64"/>
  <c r="C33" i="64"/>
  <c r="B33" i="64"/>
  <c r="A33" i="64"/>
  <c r="E32" i="64"/>
  <c r="B32" i="64"/>
  <c r="A32" i="64"/>
  <c r="G31" i="64"/>
  <c r="D31" i="64"/>
  <c r="C31" i="64"/>
  <c r="B31" i="64"/>
  <c r="A31" i="64"/>
  <c r="G30" i="64"/>
  <c r="F30" i="64"/>
  <c r="E30" i="64"/>
  <c r="D30" i="64"/>
  <c r="C30" i="64"/>
  <c r="B30" i="64"/>
  <c r="A30" i="64"/>
  <c r="G29" i="64"/>
  <c r="E29" i="64"/>
  <c r="D29" i="64"/>
  <c r="C29" i="64"/>
  <c r="B29" i="64"/>
  <c r="A29" i="64"/>
  <c r="E28" i="64"/>
  <c r="B28" i="64"/>
  <c r="A28" i="64"/>
  <c r="E27" i="64"/>
  <c r="B27" i="64"/>
  <c r="A27" i="64"/>
  <c r="E26" i="64"/>
  <c r="B26" i="64"/>
  <c r="A26" i="64"/>
  <c r="E25" i="64"/>
  <c r="B25" i="64"/>
  <c r="A25" i="64"/>
  <c r="E24" i="64"/>
  <c r="B24" i="64"/>
  <c r="A24" i="64"/>
  <c r="E23" i="64"/>
  <c r="B23" i="64"/>
  <c r="A23" i="64"/>
  <c r="E22" i="64"/>
  <c r="C22" i="64"/>
  <c r="B22" i="64"/>
  <c r="A22" i="64"/>
  <c r="E21" i="64"/>
  <c r="B21" i="64"/>
  <c r="A21" i="64"/>
  <c r="E20" i="64"/>
  <c r="B20" i="64"/>
  <c r="A20" i="64"/>
  <c r="E19" i="64"/>
  <c r="B19" i="64"/>
  <c r="A19" i="64"/>
  <c r="G18" i="64"/>
  <c r="E18" i="64"/>
  <c r="D18" i="64"/>
  <c r="C18" i="64"/>
  <c r="B18" i="64"/>
  <c r="A18" i="64"/>
  <c r="G17" i="64"/>
  <c r="E17" i="64"/>
  <c r="D17" i="64"/>
  <c r="C17" i="64"/>
  <c r="B17" i="64"/>
  <c r="A17" i="64"/>
  <c r="G16" i="64"/>
  <c r="E16" i="64"/>
  <c r="C16" i="64"/>
  <c r="B16" i="64"/>
  <c r="A16" i="64"/>
  <c r="E15" i="64"/>
  <c r="B15" i="64"/>
  <c r="A15" i="64"/>
  <c r="E14" i="64"/>
  <c r="B14" i="64"/>
  <c r="A14" i="64"/>
  <c r="E13" i="64"/>
  <c r="B13" i="64"/>
  <c r="A13" i="64"/>
  <c r="B12" i="64"/>
  <c r="A12" i="64"/>
  <c r="H11" i="64"/>
  <c r="G11" i="64"/>
  <c r="F11" i="64"/>
  <c r="E11" i="64"/>
  <c r="D11" i="64"/>
  <c r="C11" i="64"/>
  <c r="B11" i="64"/>
  <c r="A11" i="64"/>
  <c r="J47" i="64" l="1"/>
  <c r="I17" i="64"/>
  <c r="I18" i="64"/>
  <c r="I29" i="64"/>
  <c r="I30" i="64"/>
  <c r="I31" i="64"/>
  <c r="I36" i="64"/>
  <c r="I47" i="64"/>
  <c r="I58" i="64"/>
  <c r="I59" i="64"/>
  <c r="D67" i="64"/>
  <c r="D75" i="64"/>
  <c r="D41" i="64"/>
  <c r="J41" i="64" s="1"/>
  <c r="I75" i="64" l="1"/>
  <c r="J75" i="64"/>
  <c r="I41" i="64"/>
  <c r="D60" i="64" l="1"/>
  <c r="I60" i="64" l="1"/>
  <c r="AD72" i="1"/>
  <c r="E3" i="67" l="1"/>
  <c r="E4" i="67"/>
  <c r="F36" i="64"/>
  <c r="F40" i="64" l="1"/>
  <c r="A1" i="68" l="1"/>
  <c r="J3" i="67" l="1"/>
  <c r="J4" i="67"/>
  <c r="I2" i="67"/>
  <c r="J2" i="67" s="1"/>
  <c r="G82" i="64" l="1"/>
  <c r="C19" i="40"/>
  <c r="H2" i="67"/>
  <c r="B7" i="67" l="1"/>
  <c r="G3" i="67" l="1"/>
  <c r="G4" i="67" s="1"/>
  <c r="G11" i="56" l="1"/>
  <c r="G10" i="56"/>
  <c r="E31" i="64" l="1"/>
  <c r="C67" i="64" l="1"/>
  <c r="J67" i="64" s="1"/>
  <c r="I67" i="64" l="1"/>
  <c r="V64" i="66"/>
  <c r="X64" i="66" s="1"/>
  <c r="S64" i="66"/>
  <c r="T64" i="66" s="1"/>
  <c r="N64" i="66"/>
  <c r="O64" i="66" s="1"/>
  <c r="Y64" i="66" s="1"/>
  <c r="F64" i="66"/>
  <c r="E64" i="66"/>
  <c r="D64" i="66"/>
  <c r="V63" i="66"/>
  <c r="S63" i="66"/>
  <c r="U63" i="66" s="1"/>
  <c r="N63" i="66"/>
  <c r="F63" i="66"/>
  <c r="E63" i="66"/>
  <c r="D63" i="66"/>
  <c r="C63" i="66"/>
  <c r="V62" i="66"/>
  <c r="W62" i="66" s="1"/>
  <c r="S62" i="66"/>
  <c r="U62" i="66" s="1"/>
  <c r="N62" i="66"/>
  <c r="K62" i="66"/>
  <c r="J62" i="66"/>
  <c r="I62" i="66"/>
  <c r="F62" i="66"/>
  <c r="E62" i="66"/>
  <c r="D62" i="66"/>
  <c r="C62" i="66"/>
  <c r="V61" i="66"/>
  <c r="X61" i="66" s="1"/>
  <c r="S61" i="66"/>
  <c r="T61" i="66" s="1"/>
  <c r="N61" i="66"/>
  <c r="F61" i="66"/>
  <c r="E61" i="66"/>
  <c r="D61" i="66"/>
  <c r="C61" i="66"/>
  <c r="V60" i="66"/>
  <c r="W60" i="66" s="1"/>
  <c r="S60" i="66"/>
  <c r="U60" i="66" s="1"/>
  <c r="N60" i="66"/>
  <c r="F60" i="66"/>
  <c r="K60" i="66" s="1"/>
  <c r="E60" i="66"/>
  <c r="D60" i="66"/>
  <c r="C60" i="66"/>
  <c r="V59" i="66"/>
  <c r="X59" i="66" s="1"/>
  <c r="S59" i="66"/>
  <c r="U59" i="66" s="1"/>
  <c r="N59" i="66"/>
  <c r="K59" i="66"/>
  <c r="J59" i="66"/>
  <c r="I59" i="66"/>
  <c r="F59" i="66"/>
  <c r="E59" i="66"/>
  <c r="D59" i="66"/>
  <c r="C59" i="66"/>
  <c r="V58" i="66"/>
  <c r="X58" i="66" s="1"/>
  <c r="S58" i="66"/>
  <c r="U58" i="66" s="1"/>
  <c r="N58" i="66"/>
  <c r="F58" i="66"/>
  <c r="E58" i="66"/>
  <c r="D58" i="66"/>
  <c r="C58" i="66"/>
  <c r="V57" i="66"/>
  <c r="S57" i="66"/>
  <c r="U57" i="66" s="1"/>
  <c r="N57" i="66"/>
  <c r="F57" i="66"/>
  <c r="E57" i="66"/>
  <c r="D57" i="66"/>
  <c r="C57" i="66"/>
  <c r="AM56" i="66"/>
  <c r="G56" i="66"/>
  <c r="F56" i="66"/>
  <c r="E56" i="66"/>
  <c r="D56" i="66"/>
  <c r="C56" i="66"/>
  <c r="V55" i="66"/>
  <c r="X55" i="66" s="1"/>
  <c r="S55" i="66"/>
  <c r="U55" i="66" s="1"/>
  <c r="N55" i="66"/>
  <c r="F55" i="66"/>
  <c r="J55" i="66" s="1"/>
  <c r="E55" i="66"/>
  <c r="D55" i="66"/>
  <c r="C55" i="66"/>
  <c r="V54" i="66"/>
  <c r="X54" i="66" s="1"/>
  <c r="S54" i="66"/>
  <c r="U54" i="66" s="1"/>
  <c r="N54" i="66"/>
  <c r="K54" i="66"/>
  <c r="J54" i="66"/>
  <c r="I54" i="66"/>
  <c r="F54" i="66"/>
  <c r="E54" i="66"/>
  <c r="D54" i="66"/>
  <c r="C54" i="66"/>
  <c r="V53" i="66"/>
  <c r="X53" i="66" s="1"/>
  <c r="S53" i="66"/>
  <c r="U53" i="66" s="1"/>
  <c r="N53" i="66"/>
  <c r="F53" i="66"/>
  <c r="E53" i="66"/>
  <c r="D53" i="66"/>
  <c r="C53" i="66"/>
  <c r="V52" i="66"/>
  <c r="W52" i="66" s="1"/>
  <c r="S52" i="66"/>
  <c r="U52" i="66" s="1"/>
  <c r="N52" i="66"/>
  <c r="K52" i="66"/>
  <c r="J52" i="66"/>
  <c r="I52" i="66"/>
  <c r="F52" i="66"/>
  <c r="E52" i="66"/>
  <c r="D52" i="66"/>
  <c r="C52" i="66"/>
  <c r="V51" i="66"/>
  <c r="X51" i="66" s="1"/>
  <c r="S51" i="66"/>
  <c r="T51" i="66" s="1"/>
  <c r="N51" i="66"/>
  <c r="K51" i="66"/>
  <c r="J51" i="66"/>
  <c r="I51" i="66"/>
  <c r="F51" i="66"/>
  <c r="E51" i="66"/>
  <c r="D51" i="66"/>
  <c r="C51" i="66"/>
  <c r="V50" i="66"/>
  <c r="X50" i="66" s="1"/>
  <c r="S50" i="66"/>
  <c r="N50" i="66"/>
  <c r="F50" i="66"/>
  <c r="E50" i="66"/>
  <c r="D50" i="66"/>
  <c r="C50" i="66"/>
  <c r="V49" i="66"/>
  <c r="X49" i="66" s="1"/>
  <c r="S49" i="66"/>
  <c r="T49" i="66" s="1"/>
  <c r="N49" i="66"/>
  <c r="F49" i="66"/>
  <c r="E49" i="66"/>
  <c r="D49" i="66"/>
  <c r="C49" i="66"/>
  <c r="V48" i="66"/>
  <c r="X48" i="66" s="1"/>
  <c r="S48" i="66"/>
  <c r="U48" i="66" s="1"/>
  <c r="N48" i="66"/>
  <c r="F48" i="66"/>
  <c r="E48" i="66"/>
  <c r="D48" i="66"/>
  <c r="C48" i="66"/>
  <c r="V47" i="66"/>
  <c r="X47" i="66" s="1"/>
  <c r="S47" i="66"/>
  <c r="U47" i="66" s="1"/>
  <c r="N47" i="66"/>
  <c r="F47" i="66"/>
  <c r="E47" i="66"/>
  <c r="D47" i="66"/>
  <c r="C47" i="66"/>
  <c r="AJ46" i="66"/>
  <c r="AI46" i="66"/>
  <c r="V46" i="66"/>
  <c r="S46" i="66"/>
  <c r="F46" i="66"/>
  <c r="E46" i="66"/>
  <c r="D46" i="66"/>
  <c r="C46" i="66"/>
  <c r="AJ45" i="66"/>
  <c r="AI45" i="66"/>
  <c r="V45" i="66"/>
  <c r="S45" i="66"/>
  <c r="F45" i="66"/>
  <c r="E45" i="66"/>
  <c r="D45" i="66"/>
  <c r="C45" i="66"/>
  <c r="V44" i="66"/>
  <c r="X44" i="66" s="1"/>
  <c r="S44" i="66"/>
  <c r="F44" i="66"/>
  <c r="K44" i="66" s="1"/>
  <c r="E44" i="66"/>
  <c r="D44" i="66"/>
  <c r="C44" i="66"/>
  <c r="V43" i="66"/>
  <c r="X43" i="66" s="1"/>
  <c r="S43" i="66"/>
  <c r="T43" i="66" s="1"/>
  <c r="K43" i="66"/>
  <c r="J43" i="66"/>
  <c r="I43" i="66"/>
  <c r="F43" i="66"/>
  <c r="E43" i="66"/>
  <c r="D43" i="66"/>
  <c r="C43" i="66"/>
  <c r="V42" i="66"/>
  <c r="S42" i="66"/>
  <c r="F42" i="66"/>
  <c r="E42" i="66"/>
  <c r="D42" i="66"/>
  <c r="C42" i="66"/>
  <c r="V41" i="66"/>
  <c r="W41" i="66" s="1"/>
  <c r="S41" i="66"/>
  <c r="U41" i="66" s="1"/>
  <c r="K41" i="66"/>
  <c r="J41" i="66"/>
  <c r="J40" i="66" s="1"/>
  <c r="I41" i="66"/>
  <c r="F41" i="66"/>
  <c r="E41" i="66"/>
  <c r="D41" i="66"/>
  <c r="C41" i="66"/>
  <c r="V40" i="66"/>
  <c r="X40" i="66" s="1"/>
  <c r="S40" i="66"/>
  <c r="U40" i="66" s="1"/>
  <c r="F40" i="66"/>
  <c r="E40" i="66"/>
  <c r="D40" i="66"/>
  <c r="C40" i="66"/>
  <c r="V39" i="66"/>
  <c r="X39" i="66" s="1"/>
  <c r="S39" i="66"/>
  <c r="T39" i="66" s="1"/>
  <c r="K39" i="66"/>
  <c r="J39" i="66"/>
  <c r="I39" i="66"/>
  <c r="F39" i="66"/>
  <c r="E39" i="66"/>
  <c r="D39" i="66"/>
  <c r="C39" i="66"/>
  <c r="V38" i="66"/>
  <c r="S38" i="66"/>
  <c r="K38" i="66"/>
  <c r="J38" i="66"/>
  <c r="I38" i="66"/>
  <c r="F38" i="66"/>
  <c r="E38" i="66"/>
  <c r="D38" i="66"/>
  <c r="C38" i="66"/>
  <c r="V37" i="66"/>
  <c r="W37" i="66" s="1"/>
  <c r="S37" i="66"/>
  <c r="U37" i="66" s="1"/>
  <c r="F37" i="66"/>
  <c r="E37" i="66"/>
  <c r="D37" i="66"/>
  <c r="C37" i="66"/>
  <c r="V36" i="66"/>
  <c r="X36" i="66" s="1"/>
  <c r="S36" i="66"/>
  <c r="T36" i="66" s="1"/>
  <c r="K36" i="66"/>
  <c r="J36" i="66"/>
  <c r="I36" i="66"/>
  <c r="F36" i="66"/>
  <c r="E36" i="66"/>
  <c r="D36" i="66"/>
  <c r="C36" i="66"/>
  <c r="V35" i="66"/>
  <c r="X35" i="66" s="1"/>
  <c r="S35" i="66"/>
  <c r="T35" i="66" s="1"/>
  <c r="K35" i="66"/>
  <c r="J35" i="66"/>
  <c r="I35" i="66"/>
  <c r="F35" i="66"/>
  <c r="E35" i="66"/>
  <c r="D35" i="66"/>
  <c r="C35" i="66"/>
  <c r="V34" i="66"/>
  <c r="W34" i="66" s="1"/>
  <c r="S34" i="66"/>
  <c r="T34" i="66" s="1"/>
  <c r="F34" i="66"/>
  <c r="E34" i="66"/>
  <c r="D34" i="66"/>
  <c r="C34" i="66"/>
  <c r="V33" i="66"/>
  <c r="X33" i="66" s="1"/>
  <c r="S33" i="66"/>
  <c r="U33" i="66" s="1"/>
  <c r="F33" i="66"/>
  <c r="E33" i="66"/>
  <c r="B8" i="46" s="1"/>
  <c r="D33" i="66"/>
  <c r="C33" i="66"/>
  <c r="V32" i="66"/>
  <c r="S32" i="66"/>
  <c r="F32" i="66"/>
  <c r="E32" i="66"/>
  <c r="D32" i="66"/>
  <c r="C32" i="66"/>
  <c r="V31" i="66"/>
  <c r="W31" i="66" s="1"/>
  <c r="S31" i="66"/>
  <c r="F31" i="66"/>
  <c r="E31" i="66"/>
  <c r="D31" i="66"/>
  <c r="C31" i="66"/>
  <c r="V30" i="66"/>
  <c r="S30" i="66"/>
  <c r="U30" i="66" s="1"/>
  <c r="F30" i="66"/>
  <c r="D30" i="66"/>
  <c r="C30" i="66"/>
  <c r="V29" i="66"/>
  <c r="W29" i="66" s="1"/>
  <c r="S29" i="66"/>
  <c r="U29" i="66" s="1"/>
  <c r="F29" i="66"/>
  <c r="K29" i="66" s="1"/>
  <c r="D29" i="66"/>
  <c r="C29" i="66"/>
  <c r="V28" i="66"/>
  <c r="W28" i="66" s="1"/>
  <c r="S28" i="66"/>
  <c r="F28" i="66"/>
  <c r="K28" i="66" s="1"/>
  <c r="D28" i="66"/>
  <c r="C28" i="66"/>
  <c r="V27" i="66"/>
  <c r="W27" i="66" s="1"/>
  <c r="S27" i="66"/>
  <c r="F27" i="66"/>
  <c r="E27" i="66"/>
  <c r="D27" i="66"/>
  <c r="C27" i="66"/>
  <c r="V26" i="66"/>
  <c r="W26" i="66" s="1"/>
  <c r="S26" i="66"/>
  <c r="U26" i="66" s="1"/>
  <c r="F26" i="66"/>
  <c r="K26" i="66" s="1"/>
  <c r="E26" i="66"/>
  <c r="D26" i="66"/>
  <c r="C26" i="66"/>
  <c r="V25" i="66"/>
  <c r="S25" i="66"/>
  <c r="U25" i="66" s="1"/>
  <c r="F25" i="66"/>
  <c r="E25" i="66"/>
  <c r="D25" i="66"/>
  <c r="C25" i="66"/>
  <c r="V24" i="66"/>
  <c r="X24" i="66" s="1"/>
  <c r="S24" i="66"/>
  <c r="U24" i="66" s="1"/>
  <c r="F24" i="66"/>
  <c r="K24" i="66" s="1"/>
  <c r="E24" i="66"/>
  <c r="D24" i="66"/>
  <c r="C24" i="66"/>
  <c r="V23" i="66"/>
  <c r="X23" i="66" s="1"/>
  <c r="S23" i="66"/>
  <c r="T23" i="66" s="1"/>
  <c r="F23" i="66"/>
  <c r="E23" i="66"/>
  <c r="D23" i="66"/>
  <c r="C23" i="66"/>
  <c r="V22" i="66"/>
  <c r="W22" i="66" s="1"/>
  <c r="S22" i="66"/>
  <c r="T22" i="66" s="1"/>
  <c r="F22" i="66"/>
  <c r="K22" i="66" s="1"/>
  <c r="E22" i="66"/>
  <c r="D22" i="66"/>
  <c r="C22" i="66"/>
  <c r="V21" i="66"/>
  <c r="X21" i="66" s="1"/>
  <c r="S21" i="66"/>
  <c r="F21" i="66"/>
  <c r="K21" i="66" s="1"/>
  <c r="E21" i="66"/>
  <c r="D21" i="66"/>
  <c r="C21" i="66"/>
  <c r="V20" i="66"/>
  <c r="W20" i="66" s="1"/>
  <c r="S20" i="66"/>
  <c r="U20" i="66" s="1"/>
  <c r="F20" i="66"/>
  <c r="K20" i="66" s="1"/>
  <c r="E20" i="66"/>
  <c r="D20" i="66"/>
  <c r="C20" i="66"/>
  <c r="AM19" i="66"/>
  <c r="V18" i="66"/>
  <c r="X18" i="66" s="1"/>
  <c r="S18" i="66"/>
  <c r="T18" i="66" s="1"/>
  <c r="F18" i="66"/>
  <c r="E18" i="66"/>
  <c r="D18" i="66"/>
  <c r="C18" i="66"/>
  <c r="V17" i="66"/>
  <c r="X17" i="66" s="1"/>
  <c r="S17" i="66"/>
  <c r="T17" i="66" s="1"/>
  <c r="F17" i="66"/>
  <c r="K17" i="66" s="1"/>
  <c r="E17" i="66"/>
  <c r="D17" i="66"/>
  <c r="C17" i="66"/>
  <c r="V16" i="66"/>
  <c r="W16" i="66" s="1"/>
  <c r="S16" i="66"/>
  <c r="F16" i="66"/>
  <c r="E16" i="66"/>
  <c r="D16" i="66"/>
  <c r="C16" i="66"/>
  <c r="V15" i="66"/>
  <c r="X15" i="66" s="1"/>
  <c r="S15" i="66"/>
  <c r="U15" i="66" s="1"/>
  <c r="F15" i="66"/>
  <c r="E15" i="66"/>
  <c r="D15" i="66"/>
  <c r="C15" i="66"/>
  <c r="V14" i="66"/>
  <c r="X14" i="66" s="1"/>
  <c r="S14" i="66"/>
  <c r="U14" i="66" s="1"/>
  <c r="F14" i="66"/>
  <c r="K14" i="66" s="1"/>
  <c r="E14" i="66"/>
  <c r="D14" i="66"/>
  <c r="C14" i="66"/>
  <c r="V13" i="66"/>
  <c r="X13" i="66" s="1"/>
  <c r="S13" i="66"/>
  <c r="T13" i="66" s="1"/>
  <c r="F13" i="66"/>
  <c r="E13" i="66"/>
  <c r="D13" i="66"/>
  <c r="C13" i="66"/>
  <c r="V12" i="66"/>
  <c r="X12" i="66" s="1"/>
  <c r="S12" i="66"/>
  <c r="U12" i="66" s="1"/>
  <c r="F12" i="66"/>
  <c r="E12" i="66"/>
  <c r="D12" i="66"/>
  <c r="C12" i="66"/>
  <c r="E11" i="66"/>
  <c r="D11" i="66"/>
  <c r="C11" i="66"/>
  <c r="V10" i="66"/>
  <c r="S10" i="66"/>
  <c r="U10" i="66" s="1"/>
  <c r="F10" i="66"/>
  <c r="K10" i="66" s="1"/>
  <c r="E10" i="66"/>
  <c r="D10" i="66"/>
  <c r="C10" i="66"/>
  <c r="J25" i="66" l="1"/>
  <c r="K25" i="66"/>
  <c r="I30" i="66"/>
  <c r="K30" i="66"/>
  <c r="I23" i="66"/>
  <c r="K23" i="66"/>
  <c r="J15" i="66"/>
  <c r="P15" i="66" s="1"/>
  <c r="Z15" i="66" s="1"/>
  <c r="K15" i="66"/>
  <c r="L15" i="66" s="1"/>
  <c r="J27" i="66"/>
  <c r="K27" i="66"/>
  <c r="Q27" i="66" s="1"/>
  <c r="AD27" i="66" s="1"/>
  <c r="I13" i="66"/>
  <c r="O13" i="66" s="1"/>
  <c r="Y13" i="66" s="1"/>
  <c r="K13" i="66"/>
  <c r="B5" i="46"/>
  <c r="I16" i="66"/>
  <c r="K16" i="66"/>
  <c r="I18" i="66"/>
  <c r="K18" i="66"/>
  <c r="W12" i="66"/>
  <c r="L48" i="66"/>
  <c r="G34" i="66"/>
  <c r="G61" i="66"/>
  <c r="U35" i="66"/>
  <c r="Q60" i="66"/>
  <c r="AD60" i="66" s="1"/>
  <c r="G33" i="66"/>
  <c r="T20" i="66"/>
  <c r="O36" i="66"/>
  <c r="Y36" i="66" s="1"/>
  <c r="G42" i="66"/>
  <c r="G54" i="66"/>
  <c r="T60" i="66"/>
  <c r="G62" i="66"/>
  <c r="T10" i="66"/>
  <c r="G58" i="66"/>
  <c r="V66" i="66"/>
  <c r="B72" i="66" s="1"/>
  <c r="D72" i="66" s="1"/>
  <c r="T37" i="66"/>
  <c r="I15" i="66"/>
  <c r="O15" i="66" s="1"/>
  <c r="Y15" i="66" s="1"/>
  <c r="U23" i="66"/>
  <c r="L35" i="66"/>
  <c r="J49" i="66"/>
  <c r="P49" i="66" s="1"/>
  <c r="Z49" i="66" s="1"/>
  <c r="G38" i="66"/>
  <c r="L38" i="66"/>
  <c r="J48" i="66"/>
  <c r="P48" i="66" s="1"/>
  <c r="Z48" i="66" s="1"/>
  <c r="Q22" i="66"/>
  <c r="G37" i="66"/>
  <c r="G48" i="66"/>
  <c r="W53" i="66"/>
  <c r="W54" i="66"/>
  <c r="O16" i="66"/>
  <c r="Y16" i="66" s="1"/>
  <c r="P36" i="66"/>
  <c r="Z36" i="66" s="1"/>
  <c r="P51" i="66"/>
  <c r="Z51" i="66" s="1"/>
  <c r="P54" i="66"/>
  <c r="Z54" i="66" s="1"/>
  <c r="Q48" i="66"/>
  <c r="AA48" i="66" s="1"/>
  <c r="AB48" i="66" s="1"/>
  <c r="N21" i="66"/>
  <c r="N15" i="66"/>
  <c r="N25" i="66"/>
  <c r="G35" i="66"/>
  <c r="N41" i="66"/>
  <c r="K55" i="66"/>
  <c r="L55" i="66" s="1"/>
  <c r="G13" i="66"/>
  <c r="J30" i="66"/>
  <c r="P30" i="66" s="1"/>
  <c r="Z30" i="66" s="1"/>
  <c r="O39" i="66"/>
  <c r="Y39" i="66" s="1"/>
  <c r="G57" i="66"/>
  <c r="O59" i="66"/>
  <c r="Y59" i="66" s="1"/>
  <c r="G15" i="66"/>
  <c r="G21" i="66"/>
  <c r="Q28" i="66"/>
  <c r="AD28" i="66" s="1"/>
  <c r="AF28" i="66" s="1"/>
  <c r="J53" i="66"/>
  <c r="P53" i="66" s="1"/>
  <c r="Z53" i="66" s="1"/>
  <c r="G63" i="66"/>
  <c r="N26" i="66"/>
  <c r="X22" i="66"/>
  <c r="X26" i="66"/>
  <c r="L54" i="66"/>
  <c r="L62" i="66"/>
  <c r="G20" i="66"/>
  <c r="N29" i="66"/>
  <c r="G50" i="66"/>
  <c r="G47" i="66"/>
  <c r="N20" i="66"/>
  <c r="P27" i="66"/>
  <c r="Z27" i="66" s="1"/>
  <c r="L10" i="66"/>
  <c r="N14" i="66"/>
  <c r="G31" i="66"/>
  <c r="K37" i="66"/>
  <c r="P43" i="66"/>
  <c r="Z43" i="66" s="1"/>
  <c r="G46" i="66"/>
  <c r="G25" i="66"/>
  <c r="N38" i="66"/>
  <c r="W14" i="66"/>
  <c r="G16" i="66"/>
  <c r="U22" i="66"/>
  <c r="G24" i="66"/>
  <c r="X27" i="66"/>
  <c r="N30" i="66"/>
  <c r="X31" i="66"/>
  <c r="T41" i="66"/>
  <c r="O51" i="66"/>
  <c r="Y51" i="66" s="1"/>
  <c r="P55" i="66"/>
  <c r="Z55" i="66" s="1"/>
  <c r="O18" i="66"/>
  <c r="Y18" i="66" s="1"/>
  <c r="K33" i="66"/>
  <c r="L33" i="66" s="1"/>
  <c r="Q21" i="66"/>
  <c r="AD21" i="66" s="1"/>
  <c r="L21" i="66"/>
  <c r="W18" i="66"/>
  <c r="N24" i="66"/>
  <c r="W32" i="66"/>
  <c r="T14" i="66"/>
  <c r="W17" i="66"/>
  <c r="I24" i="66"/>
  <c r="O24" i="66" s="1"/>
  <c r="Y24" i="66" s="1"/>
  <c r="Q25" i="66"/>
  <c r="AD25" i="66" s="1"/>
  <c r="AG25" i="66" s="1"/>
  <c r="X28" i="66"/>
  <c r="O30" i="66"/>
  <c r="Y30" i="66" s="1"/>
  <c r="X32" i="66"/>
  <c r="U34" i="66"/>
  <c r="X37" i="66"/>
  <c r="W39" i="66"/>
  <c r="Q43" i="66"/>
  <c r="AD43" i="66" s="1"/>
  <c r="I44" i="66"/>
  <c r="I42" i="66" s="1"/>
  <c r="O42" i="66" s="1"/>
  <c r="Y42" i="66" s="1"/>
  <c r="U49" i="66"/>
  <c r="U51" i="66"/>
  <c r="X52" i="66"/>
  <c r="T53" i="66"/>
  <c r="T55" i="66"/>
  <c r="P59" i="66"/>
  <c r="Z59" i="66" s="1"/>
  <c r="L60" i="66"/>
  <c r="X60" i="66"/>
  <c r="P64" i="66"/>
  <c r="Z64" i="66" s="1"/>
  <c r="O23" i="66"/>
  <c r="Y23" i="66" s="1"/>
  <c r="J24" i="66"/>
  <c r="P24" i="66" s="1"/>
  <c r="Z24" i="66" s="1"/>
  <c r="O43" i="66"/>
  <c r="Y43" i="66" s="1"/>
  <c r="Q54" i="66"/>
  <c r="AD54" i="66" s="1"/>
  <c r="AE54" i="66" s="1"/>
  <c r="Q64" i="66"/>
  <c r="T15" i="66"/>
  <c r="J16" i="66"/>
  <c r="P16" i="66" s="1"/>
  <c r="Z16" i="66" s="1"/>
  <c r="L24" i="66"/>
  <c r="Q30" i="66"/>
  <c r="X34" i="66"/>
  <c r="U36" i="66"/>
  <c r="T48" i="66"/>
  <c r="W49" i="66"/>
  <c r="W51" i="66"/>
  <c r="I60" i="66"/>
  <c r="O60" i="66" s="1"/>
  <c r="Y60" i="66" s="1"/>
  <c r="X41" i="66"/>
  <c r="L16" i="66"/>
  <c r="N27" i="66"/>
  <c r="W35" i="66"/>
  <c r="W44" i="66"/>
  <c r="J60" i="66"/>
  <c r="P60" i="66" s="1"/>
  <c r="Z60" i="66" s="1"/>
  <c r="U13" i="66"/>
  <c r="W15" i="66"/>
  <c r="W36" i="66"/>
  <c r="P40" i="66"/>
  <c r="Z40" i="66" s="1"/>
  <c r="U43" i="66"/>
  <c r="T63" i="66"/>
  <c r="U39" i="66"/>
  <c r="G59" i="66"/>
  <c r="J20" i="66"/>
  <c r="P20" i="66" s="1"/>
  <c r="Z20" i="66" s="1"/>
  <c r="I21" i="66"/>
  <c r="O21" i="66" s="1"/>
  <c r="Y21" i="66" s="1"/>
  <c r="T24" i="66"/>
  <c r="I28" i="66"/>
  <c r="O28" i="66" s="1"/>
  <c r="Y28" i="66" s="1"/>
  <c r="I29" i="66"/>
  <c r="O29" i="66" s="1"/>
  <c r="Y29" i="66" s="1"/>
  <c r="Q41" i="66"/>
  <c r="AA41" i="66" s="1"/>
  <c r="T57" i="66"/>
  <c r="W58" i="66"/>
  <c r="T59" i="66"/>
  <c r="T26" i="66"/>
  <c r="T52" i="66"/>
  <c r="Q10" i="66"/>
  <c r="AD10" i="66" s="1"/>
  <c r="AE10" i="66" s="1"/>
  <c r="J21" i="66"/>
  <c r="P21" i="66" s="1"/>
  <c r="Z21" i="66" s="1"/>
  <c r="W23" i="66"/>
  <c r="G27" i="66"/>
  <c r="J28" i="66"/>
  <c r="P28" i="66" s="1"/>
  <c r="Z28" i="66" s="1"/>
  <c r="T30" i="66"/>
  <c r="W43" i="66"/>
  <c r="Q51" i="66"/>
  <c r="AD51" i="66" s="1"/>
  <c r="P52" i="66"/>
  <c r="Z52" i="66" s="1"/>
  <c r="W24" i="66"/>
  <c r="I27" i="66"/>
  <c r="O27" i="66" s="1"/>
  <c r="Y27" i="66" s="1"/>
  <c r="N28" i="66"/>
  <c r="T29" i="66"/>
  <c r="T33" i="66"/>
  <c r="Q39" i="66"/>
  <c r="AA39" i="66" s="1"/>
  <c r="T40" i="66"/>
  <c r="W33" i="66"/>
  <c r="W40" i="66"/>
  <c r="W50" i="66"/>
  <c r="U18" i="66"/>
  <c r="Q38" i="66"/>
  <c r="AD38" i="66" s="1"/>
  <c r="AE38" i="66" s="1"/>
  <c r="G49" i="66"/>
  <c r="X62" i="66"/>
  <c r="U17" i="66"/>
  <c r="N10" i="66"/>
  <c r="X16" i="66"/>
  <c r="N18" i="66"/>
  <c r="J18" i="66"/>
  <c r="P18" i="66" s="1"/>
  <c r="Z18" i="66" s="1"/>
  <c r="G18" i="66"/>
  <c r="Q62" i="66"/>
  <c r="O62" i="66"/>
  <c r="Y62" i="66" s="1"/>
  <c r="I17" i="66"/>
  <c r="O17" i="66" s="1"/>
  <c r="Y17" i="66" s="1"/>
  <c r="G17" i="66"/>
  <c r="N39" i="66"/>
  <c r="G39" i="66"/>
  <c r="J17" i="66"/>
  <c r="P17" i="66" s="1"/>
  <c r="Z17" i="66" s="1"/>
  <c r="L37" i="66"/>
  <c r="Q37" i="66"/>
  <c r="T12" i="66"/>
  <c r="W13" i="66"/>
  <c r="G14" i="66"/>
  <c r="U21" i="66"/>
  <c r="T21" i="66"/>
  <c r="T25" i="66"/>
  <c r="X29" i="66"/>
  <c r="N32" i="66"/>
  <c r="G32" i="66"/>
  <c r="P39" i="66"/>
  <c r="Z39" i="66" s="1"/>
  <c r="J37" i="66"/>
  <c r="P37" i="66" s="1"/>
  <c r="Z37" i="66" s="1"/>
  <c r="J23" i="66"/>
  <c r="P23" i="66" s="1"/>
  <c r="Z23" i="66" s="1"/>
  <c r="G23" i="66"/>
  <c r="N45" i="66"/>
  <c r="I14" i="66"/>
  <c r="O14" i="66" s="1"/>
  <c r="Y14" i="66" s="1"/>
  <c r="N17" i="66"/>
  <c r="N23" i="66"/>
  <c r="X25" i="66"/>
  <c r="W25" i="66"/>
  <c r="I26" i="66"/>
  <c r="O26" i="66" s="1"/>
  <c r="Y26" i="66" s="1"/>
  <c r="U27" i="66"/>
  <c r="T27" i="66"/>
  <c r="S66" i="66"/>
  <c r="T32" i="66"/>
  <c r="V65" i="66"/>
  <c r="B71" i="66" s="1"/>
  <c r="D71" i="66" s="1"/>
  <c r="W10" i="66"/>
  <c r="X10" i="66" s="1"/>
  <c r="J14" i="66"/>
  <c r="P14" i="66" s="1"/>
  <c r="Z14" i="66" s="1"/>
  <c r="W21" i="66"/>
  <c r="I22" i="66"/>
  <c r="O22" i="66" s="1"/>
  <c r="Y22" i="66" s="1"/>
  <c r="G22" i="66"/>
  <c r="N22" i="66"/>
  <c r="G26" i="66"/>
  <c r="X30" i="66"/>
  <c r="W30" i="66"/>
  <c r="U32" i="66"/>
  <c r="U66" i="66" s="1"/>
  <c r="N13" i="66"/>
  <c r="J13" i="66"/>
  <c r="J22" i="66"/>
  <c r="P22" i="66" s="1"/>
  <c r="Z22" i="66" s="1"/>
  <c r="J26" i="66"/>
  <c r="P26" i="66" s="1"/>
  <c r="Z26" i="66" s="1"/>
  <c r="P41" i="66"/>
  <c r="Z41" i="66" s="1"/>
  <c r="AD22" i="66"/>
  <c r="AA22" i="66"/>
  <c r="U31" i="66"/>
  <c r="T31" i="66"/>
  <c r="N16" i="66"/>
  <c r="G10" i="66"/>
  <c r="L22" i="66"/>
  <c r="X20" i="66"/>
  <c r="G12" i="66"/>
  <c r="P25" i="66"/>
  <c r="Z25" i="66" s="1"/>
  <c r="X38" i="66"/>
  <c r="W38" i="66"/>
  <c r="Q29" i="66"/>
  <c r="I10" i="66"/>
  <c r="O10" i="66" s="1"/>
  <c r="Y10" i="66" s="1"/>
  <c r="J10" i="66"/>
  <c r="P10" i="66" s="1"/>
  <c r="Z10" i="66" s="1"/>
  <c r="U16" i="66"/>
  <c r="T16" i="66"/>
  <c r="I20" i="66"/>
  <c r="O20" i="66" s="1"/>
  <c r="Y20" i="66" s="1"/>
  <c r="U28" i="66"/>
  <c r="T28" i="66"/>
  <c r="P35" i="66"/>
  <c r="Z35" i="66" s="1"/>
  <c r="N35" i="66"/>
  <c r="K34" i="66"/>
  <c r="J34" i="66"/>
  <c r="P34" i="66" s="1"/>
  <c r="Z34" i="66" s="1"/>
  <c r="K32" i="66"/>
  <c r="J32" i="66"/>
  <c r="I32" i="66"/>
  <c r="N36" i="66"/>
  <c r="G36" i="66"/>
  <c r="U38" i="66"/>
  <c r="T38" i="66"/>
  <c r="K46" i="66"/>
  <c r="L46" i="66" s="1"/>
  <c r="K45" i="66"/>
  <c r="L45" i="66" s="1"/>
  <c r="G51" i="66"/>
  <c r="G53" i="66"/>
  <c r="J57" i="66"/>
  <c r="P57" i="66" s="1"/>
  <c r="Z57" i="66" s="1"/>
  <c r="I57" i="66"/>
  <c r="O57" i="66" s="1"/>
  <c r="Y57" i="66" s="1"/>
  <c r="K57" i="66"/>
  <c r="I25" i="66"/>
  <c r="O25" i="66" s="1"/>
  <c r="Y25" i="66" s="1"/>
  <c r="J29" i="66"/>
  <c r="P29" i="66" s="1"/>
  <c r="Z29" i="66" s="1"/>
  <c r="AD39" i="66"/>
  <c r="L44" i="66"/>
  <c r="G45" i="66"/>
  <c r="Q52" i="66"/>
  <c r="O52" i="66"/>
  <c r="Y52" i="66" s="1"/>
  <c r="I50" i="66"/>
  <c r="O50" i="66" s="1"/>
  <c r="Y50" i="66" s="1"/>
  <c r="I48" i="66"/>
  <c r="O54" i="66"/>
  <c r="Y54" i="66" s="1"/>
  <c r="Q36" i="66"/>
  <c r="L36" i="66"/>
  <c r="Q44" i="66"/>
  <c r="G52" i="66"/>
  <c r="L52" i="66"/>
  <c r="P62" i="66"/>
  <c r="Z62" i="66" s="1"/>
  <c r="J63" i="66"/>
  <c r="P63" i="66" s="1"/>
  <c r="Z63" i="66" s="1"/>
  <c r="I63" i="66"/>
  <c r="O63" i="66" s="1"/>
  <c r="Y63" i="66" s="1"/>
  <c r="K63" i="66"/>
  <c r="U44" i="66"/>
  <c r="T44" i="66"/>
  <c r="U50" i="66"/>
  <c r="T50" i="66"/>
  <c r="K58" i="66"/>
  <c r="Q59" i="66"/>
  <c r="O35" i="66"/>
  <c r="Y35" i="66" s="1"/>
  <c r="I34" i="66"/>
  <c r="O34" i="66" s="1"/>
  <c r="Y34" i="66" s="1"/>
  <c r="N40" i="66"/>
  <c r="L59" i="66"/>
  <c r="N43" i="66"/>
  <c r="G43" i="66"/>
  <c r="X57" i="66"/>
  <c r="W57" i="66"/>
  <c r="Q35" i="66"/>
  <c r="O38" i="66"/>
  <c r="Y38" i="66" s="1"/>
  <c r="I37" i="66"/>
  <c r="O37" i="66" s="1"/>
  <c r="Y37" i="66" s="1"/>
  <c r="U42" i="66"/>
  <c r="T42" i="66"/>
  <c r="T62" i="66"/>
  <c r="S65" i="66"/>
  <c r="P38" i="66"/>
  <c r="Z38" i="66" s="1"/>
  <c r="X42" i="66"/>
  <c r="W42" i="66"/>
  <c r="W47" i="66"/>
  <c r="AA43" i="66"/>
  <c r="X63" i="66"/>
  <c r="W63" i="66"/>
  <c r="O41" i="66"/>
  <c r="Y41" i="66" s="1"/>
  <c r="I40" i="66"/>
  <c r="O40" i="66" s="1"/>
  <c r="Y40" i="66" s="1"/>
  <c r="J50" i="66"/>
  <c r="P50" i="66" s="1"/>
  <c r="Z50" i="66" s="1"/>
  <c r="G44" i="66"/>
  <c r="U61" i="66"/>
  <c r="U64" i="66"/>
  <c r="U65" i="66" s="1"/>
  <c r="K40" i="66"/>
  <c r="Q40" i="66" s="1"/>
  <c r="J44" i="66"/>
  <c r="J42" i="66" s="1"/>
  <c r="P42" i="66" s="1"/>
  <c r="Z42" i="66" s="1"/>
  <c r="L51" i="66"/>
  <c r="W61" i="66"/>
  <c r="W64" i="66"/>
  <c r="K50" i="66"/>
  <c r="G60" i="66"/>
  <c r="G55" i="66"/>
  <c r="T58" i="66"/>
  <c r="L39" i="66"/>
  <c r="L43" i="66"/>
  <c r="T47" i="66"/>
  <c r="W48" i="66"/>
  <c r="T54" i="66"/>
  <c r="I55" i="66"/>
  <c r="O55" i="66" s="1"/>
  <c r="Y55" i="66" s="1"/>
  <c r="W55" i="66"/>
  <c r="W59" i="66"/>
  <c r="K42" i="66"/>
  <c r="AG54" i="66" l="1"/>
  <c r="AF54" i="66"/>
  <c r="AA60" i="66"/>
  <c r="AA54" i="66"/>
  <c r="AF60" i="66"/>
  <c r="AG60" i="66"/>
  <c r="AH48" i="66"/>
  <c r="AD48" i="66"/>
  <c r="Q15" i="66"/>
  <c r="AD15" i="66" s="1"/>
  <c r="AG15" i="66" s="1"/>
  <c r="N46" i="66"/>
  <c r="N44" i="66" s="1"/>
  <c r="N42" i="66" s="1"/>
  <c r="AA21" i="66"/>
  <c r="AC21" i="66" s="1"/>
  <c r="AJ21" i="66" s="1"/>
  <c r="J47" i="66"/>
  <c r="P47" i="66" s="1"/>
  <c r="Z47" i="66" s="1"/>
  <c r="AE28" i="66"/>
  <c r="AG28" i="66"/>
  <c r="AI48" i="66"/>
  <c r="AE60" i="66"/>
  <c r="N37" i="66"/>
  <c r="L27" i="66"/>
  <c r="AF38" i="66"/>
  <c r="AC48" i="66"/>
  <c r="AJ48" i="66" s="1"/>
  <c r="Q16" i="66"/>
  <c r="AD16" i="66" s="1"/>
  <c r="K53" i="66"/>
  <c r="Q53" i="66" s="1"/>
  <c r="AG38" i="66"/>
  <c r="Q55" i="66"/>
  <c r="AA55" i="66" s="1"/>
  <c r="K49" i="66"/>
  <c r="K47" i="66" s="1"/>
  <c r="AA27" i="66"/>
  <c r="AH27" i="66" s="1"/>
  <c r="AK27" i="66" s="1"/>
  <c r="W66" i="66"/>
  <c r="AA38" i="66"/>
  <c r="AB38" i="66" s="1"/>
  <c r="AI38" i="66" s="1"/>
  <c r="Q24" i="66"/>
  <c r="AA24" i="66" s="1"/>
  <c r="AG10" i="66"/>
  <c r="AF10" i="66"/>
  <c r="AA28" i="66"/>
  <c r="AC28" i="66" s="1"/>
  <c r="AJ28" i="66" s="1"/>
  <c r="AD41" i="66"/>
  <c r="AL41" i="66" s="1"/>
  <c r="Q33" i="66"/>
  <c r="AA33" i="66" s="1"/>
  <c r="N12" i="66"/>
  <c r="O44" i="66"/>
  <c r="Y44" i="66" s="1"/>
  <c r="I33" i="66"/>
  <c r="O33" i="66" s="1"/>
  <c r="Y33" i="66" s="1"/>
  <c r="AA25" i="66"/>
  <c r="AC25" i="66" s="1"/>
  <c r="AJ25" i="66" s="1"/>
  <c r="AF25" i="66"/>
  <c r="AE25" i="66"/>
  <c r="J33" i="66"/>
  <c r="P33" i="66" s="1"/>
  <c r="Z33" i="66" s="1"/>
  <c r="T65" i="66"/>
  <c r="AA64" i="66"/>
  <c r="AD64" i="66"/>
  <c r="AA51" i="66"/>
  <c r="AC51" i="66" s="1"/>
  <c r="AJ51" i="66" s="1"/>
  <c r="J58" i="66"/>
  <c r="P58" i="66" s="1"/>
  <c r="Z58" i="66" s="1"/>
  <c r="I58" i="66"/>
  <c r="O58" i="66" s="1"/>
  <c r="Y58" i="66" s="1"/>
  <c r="X66" i="66"/>
  <c r="AD30" i="66"/>
  <c r="AA30" i="66"/>
  <c r="L25" i="66"/>
  <c r="J61" i="66"/>
  <c r="P61" i="66" s="1"/>
  <c r="Z61" i="66" s="1"/>
  <c r="I12" i="66"/>
  <c r="AA10" i="66"/>
  <c r="P32" i="66"/>
  <c r="Z32" i="66" s="1"/>
  <c r="Z66" i="66" s="1"/>
  <c r="AG27" i="66"/>
  <c r="AF27" i="66"/>
  <c r="AE27" i="66"/>
  <c r="AH43" i="66"/>
  <c r="AK43" i="66" s="1"/>
  <c r="AC43" i="66"/>
  <c r="AJ43" i="66" s="1"/>
  <c r="AB43" i="66"/>
  <c r="AI43" i="66" s="1"/>
  <c r="AD35" i="66"/>
  <c r="AA35" i="66"/>
  <c r="AA59" i="66"/>
  <c r="AD59" i="66"/>
  <c r="AH39" i="66"/>
  <c r="AK39" i="66" s="1"/>
  <c r="AB39" i="66"/>
  <c r="AI39" i="66" s="1"/>
  <c r="AC39" i="66"/>
  <c r="AJ39" i="66" s="1"/>
  <c r="Q32" i="66"/>
  <c r="K31" i="66"/>
  <c r="L32" i="66"/>
  <c r="Q23" i="66"/>
  <c r="L23" i="66"/>
  <c r="AD36" i="66"/>
  <c r="AA36" i="66"/>
  <c r="AG21" i="66"/>
  <c r="AF21" i="66"/>
  <c r="AE21" i="66"/>
  <c r="Q63" i="66"/>
  <c r="L63" i="66"/>
  <c r="L34" i="66"/>
  <c r="Q34" i="66"/>
  <c r="O48" i="66"/>
  <c r="Y48" i="66" s="1"/>
  <c r="N34" i="66"/>
  <c r="P45" i="66"/>
  <c r="Z45" i="66"/>
  <c r="Q17" i="66"/>
  <c r="L17" i="66"/>
  <c r="L58" i="66"/>
  <c r="Q58" i="66"/>
  <c r="Q46" i="66"/>
  <c r="I53" i="66"/>
  <c r="O53" i="66" s="1"/>
  <c r="Y53" i="66" s="1"/>
  <c r="K12" i="66"/>
  <c r="L12" i="66" s="1"/>
  <c r="L13" i="66"/>
  <c r="Q13" i="66"/>
  <c r="T66" i="66"/>
  <c r="Z46" i="66"/>
  <c r="I61" i="66"/>
  <c r="O61" i="66" s="1"/>
  <c r="Y61" i="66" s="1"/>
  <c r="Q18" i="66"/>
  <c r="L18" i="66"/>
  <c r="O12" i="66"/>
  <c r="Q26" i="66"/>
  <c r="L26" i="66"/>
  <c r="AH41" i="66"/>
  <c r="AK41" i="66" s="1"/>
  <c r="AB41" i="66"/>
  <c r="AI41" i="66" s="1"/>
  <c r="AC41" i="66"/>
  <c r="AJ41" i="66" s="1"/>
  <c r="P46" i="66"/>
  <c r="AA37" i="66"/>
  <c r="AD37" i="66"/>
  <c r="K61" i="66"/>
  <c r="Y12" i="66"/>
  <c r="Q42" i="66"/>
  <c r="L42" i="66"/>
  <c r="J45" i="66"/>
  <c r="J46" i="66"/>
  <c r="P44" i="66"/>
  <c r="Z44" i="66" s="1"/>
  <c r="I49" i="66"/>
  <c r="O49" i="66" s="1"/>
  <c r="Y49" i="66" s="1"/>
  <c r="AH22" i="66"/>
  <c r="AK22" i="66" s="1"/>
  <c r="AC22" i="66"/>
  <c r="AJ22" i="66" s="1"/>
  <c r="AB22" i="66"/>
  <c r="AI22" i="66" s="1"/>
  <c r="L14" i="66"/>
  <c r="Q14" i="66"/>
  <c r="AE43" i="66"/>
  <c r="AL43" i="66"/>
  <c r="AF43" i="66"/>
  <c r="AG43" i="66"/>
  <c r="AE39" i="66"/>
  <c r="AL39" i="66"/>
  <c r="AF39" i="66"/>
  <c r="AG39" i="66"/>
  <c r="AD40" i="66"/>
  <c r="AA40" i="66"/>
  <c r="AF22" i="66"/>
  <c r="AL22" i="66"/>
  <c r="AG22" i="66"/>
  <c r="AE22" i="66"/>
  <c r="P13" i="66"/>
  <c r="J12" i="66"/>
  <c r="AD62" i="66"/>
  <c r="AA62" i="66"/>
  <c r="AC54" i="66"/>
  <c r="AJ54" i="66" s="1"/>
  <c r="AB54" i="66"/>
  <c r="AI54" i="66" s="1"/>
  <c r="AH54" i="66"/>
  <c r="AK54" i="66" s="1"/>
  <c r="Q57" i="66"/>
  <c r="L57" i="66"/>
  <c r="N33" i="66"/>
  <c r="N31" i="66" s="1"/>
  <c r="AE51" i="66"/>
  <c r="AF51" i="66"/>
  <c r="AG51" i="66"/>
  <c r="AD52" i="66"/>
  <c r="AA52" i="66"/>
  <c r="AD29" i="66"/>
  <c r="AA29" i="66"/>
  <c r="AF48" i="66"/>
  <c r="AE48" i="66"/>
  <c r="AG48" i="66"/>
  <c r="X65" i="66"/>
  <c r="Q50" i="66"/>
  <c r="L50" i="66"/>
  <c r="AA44" i="66"/>
  <c r="AD44" i="66"/>
  <c r="O32" i="66"/>
  <c r="Y32" i="66" s="1"/>
  <c r="L20" i="66"/>
  <c r="Q20" i="66"/>
  <c r="W65" i="66"/>
  <c r="AD55" i="66" l="1"/>
  <c r="L53" i="66"/>
  <c r="AH21" i="66"/>
  <c r="AK21" i="66" s="1"/>
  <c r="AB21" i="66"/>
  <c r="AI21" i="66" s="1"/>
  <c r="AH60" i="66"/>
  <c r="AB60" i="66"/>
  <c r="AI60" i="66" s="1"/>
  <c r="AC60" i="66"/>
  <c r="AJ60" i="66" s="1"/>
  <c r="AG41" i="66"/>
  <c r="AL60" i="66"/>
  <c r="AL10" i="66"/>
  <c r="AH10" i="66"/>
  <c r="AK10" i="66" s="1"/>
  <c r="L49" i="66"/>
  <c r="AL25" i="66"/>
  <c r="AE15" i="66"/>
  <c r="Q49" i="66"/>
  <c r="AF15" i="66"/>
  <c r="AL21" i="66"/>
  <c r="I31" i="66"/>
  <c r="O31" i="66" s="1"/>
  <c r="Y31" i="66" s="1"/>
  <c r="AA15" i="66"/>
  <c r="AC15" i="66" s="1"/>
  <c r="AJ15" i="66" s="1"/>
  <c r="AF41" i="66"/>
  <c r="AH28" i="66"/>
  <c r="AK28" i="66" s="1"/>
  <c r="AB27" i="66"/>
  <c r="AI27" i="66" s="1"/>
  <c r="AB28" i="66"/>
  <c r="AI28" i="66" s="1"/>
  <c r="AL27" i="66"/>
  <c r="AM27" i="66" s="1"/>
  <c r="AC27" i="66"/>
  <c r="AJ27" i="66" s="1"/>
  <c r="AL28" i="66"/>
  <c r="AA16" i="66"/>
  <c r="AH51" i="66"/>
  <c r="AK51" i="66" s="1"/>
  <c r="AC38" i="66"/>
  <c r="AJ38" i="66" s="1"/>
  <c r="AD24" i="66"/>
  <c r="AL24" i="66" s="1"/>
  <c r="AL15" i="66"/>
  <c r="AE41" i="66"/>
  <c r="AH38" i="66"/>
  <c r="AK38" i="66" s="1"/>
  <c r="AL38" i="66"/>
  <c r="AB51" i="66"/>
  <c r="AI51" i="66" s="1"/>
  <c r="AL51" i="66"/>
  <c r="I47" i="66"/>
  <c r="O47" i="66" s="1"/>
  <c r="Y47" i="66" s="1"/>
  <c r="AH25" i="66"/>
  <c r="AK25" i="66" s="1"/>
  <c r="AB25" i="66"/>
  <c r="AI25" i="66" s="1"/>
  <c r="AC10" i="66"/>
  <c r="Y65" i="66"/>
  <c r="AB10" i="66"/>
  <c r="AI10" i="66" s="1"/>
  <c r="AH15" i="66"/>
  <c r="AD33" i="66"/>
  <c r="AE33" i="66" s="1"/>
  <c r="J31" i="66"/>
  <c r="P31" i="66" s="1"/>
  <c r="Z31" i="66" s="1"/>
  <c r="AG30" i="66"/>
  <c r="AF30" i="66"/>
  <c r="AE30" i="66"/>
  <c r="AL30" i="66"/>
  <c r="AC30" i="66"/>
  <c r="AJ30" i="66" s="1"/>
  <c r="AH30" i="66"/>
  <c r="AK30" i="66" s="1"/>
  <c r="AB30" i="66"/>
  <c r="AI30" i="66" s="1"/>
  <c r="AM39" i="66"/>
  <c r="AC64" i="66"/>
  <c r="AJ64" i="66" s="1"/>
  <c r="AH64" i="66"/>
  <c r="AK64" i="66" s="1"/>
  <c r="AB64" i="66"/>
  <c r="AI64" i="66" s="1"/>
  <c r="AG64" i="66"/>
  <c r="AF64" i="66"/>
  <c r="AE64" i="66"/>
  <c r="AL64" i="66"/>
  <c r="AG59" i="66"/>
  <c r="AF59" i="66"/>
  <c r="AE59" i="66"/>
  <c r="AL59" i="66"/>
  <c r="AA20" i="66"/>
  <c r="AD20" i="66"/>
  <c r="AD49" i="66"/>
  <c r="AA49" i="66"/>
  <c r="L61" i="66"/>
  <c r="Q61" i="66"/>
  <c r="AM41" i="66"/>
  <c r="AG55" i="66"/>
  <c r="AF55" i="66"/>
  <c r="AE55" i="66"/>
  <c r="AL55" i="66"/>
  <c r="AB59" i="66"/>
  <c r="AI59" i="66" s="1"/>
  <c r="AH59" i="66"/>
  <c r="AK59" i="66" s="1"/>
  <c r="AC59" i="66"/>
  <c r="AJ59" i="66" s="1"/>
  <c r="AC33" i="66"/>
  <c r="AJ33" i="66" s="1"/>
  <c r="AB33" i="66"/>
  <c r="AI33" i="66" s="1"/>
  <c r="AH33" i="66"/>
  <c r="AK33" i="66" s="1"/>
  <c r="AH62" i="66"/>
  <c r="AK62" i="66" s="1"/>
  <c r="AC62" i="66"/>
  <c r="AJ62" i="66" s="1"/>
  <c r="AB62" i="66"/>
  <c r="AI62" i="66" s="1"/>
  <c r="L47" i="66"/>
  <c r="Q47" i="66"/>
  <c r="AL37" i="66"/>
  <c r="AE37" i="66"/>
  <c r="AF37" i="66"/>
  <c r="AG37" i="66"/>
  <c r="AB55" i="66"/>
  <c r="AI55" i="66" s="1"/>
  <c r="AH55" i="66"/>
  <c r="AK55" i="66" s="1"/>
  <c r="AC55" i="66"/>
  <c r="AJ55" i="66" s="1"/>
  <c r="L31" i="66"/>
  <c r="Q31" i="66"/>
  <c r="AC35" i="66"/>
  <c r="AJ35" i="66" s="1"/>
  <c r="AB35" i="66"/>
  <c r="AI35" i="66" s="1"/>
  <c r="AH35" i="66"/>
  <c r="AK35" i="66" s="1"/>
  <c r="AG62" i="66"/>
  <c r="AL62" i="66"/>
  <c r="AE62" i="66"/>
  <c r="AF62" i="66"/>
  <c r="AM43" i="66"/>
  <c r="AH37" i="66"/>
  <c r="AK37" i="66" s="1"/>
  <c r="AB37" i="66"/>
  <c r="AI37" i="66" s="1"/>
  <c r="AC37" i="66"/>
  <c r="AJ37" i="66" s="1"/>
  <c r="AD18" i="66"/>
  <c r="AA18" i="66"/>
  <c r="AM21" i="66"/>
  <c r="AD32" i="66"/>
  <c r="AA32" i="66"/>
  <c r="AG35" i="66"/>
  <c r="AF35" i="66"/>
  <c r="AL35" i="66"/>
  <c r="AE35" i="66"/>
  <c r="AH24" i="66"/>
  <c r="AK24" i="66" s="1"/>
  <c r="AC24" i="66"/>
  <c r="AJ24" i="66" s="1"/>
  <c r="AB24" i="66"/>
  <c r="AI24" i="66" s="1"/>
  <c r="AA23" i="66"/>
  <c r="AD23" i="66"/>
  <c r="Y66" i="66"/>
  <c r="AH36" i="66"/>
  <c r="AK36" i="66" s="1"/>
  <c r="AB36" i="66"/>
  <c r="AI36" i="66" s="1"/>
  <c r="AC36" i="66"/>
  <c r="AJ36" i="66" s="1"/>
  <c r="AD63" i="66"/>
  <c r="AA63" i="66"/>
  <c r="AG44" i="66"/>
  <c r="AF44" i="66"/>
  <c r="AL44" i="66"/>
  <c r="AE44" i="66"/>
  <c r="AB29" i="66"/>
  <c r="AI29" i="66" s="1"/>
  <c r="AH29" i="66"/>
  <c r="AK29" i="66" s="1"/>
  <c r="AC29" i="66"/>
  <c r="AJ29" i="66" s="1"/>
  <c r="AD34" i="66"/>
  <c r="AA34" i="66"/>
  <c r="AE36" i="66"/>
  <c r="AL36" i="66"/>
  <c r="AF36" i="66"/>
  <c r="AG36" i="66"/>
  <c r="AD42" i="66"/>
  <c r="AA42" i="66"/>
  <c r="AC44" i="66"/>
  <c r="AJ44" i="66" s="1"/>
  <c r="AB44" i="66"/>
  <c r="AI44" i="66" s="1"/>
  <c r="AH44" i="66"/>
  <c r="AK44" i="66" s="1"/>
  <c r="AF29" i="66"/>
  <c r="AE29" i="66"/>
  <c r="AL29" i="66"/>
  <c r="AG29" i="66"/>
  <c r="AA46" i="66"/>
  <c r="AD46" i="66"/>
  <c r="AG46" i="66" s="1"/>
  <c r="AD17" i="66"/>
  <c r="AA17" i="66"/>
  <c r="AD26" i="66"/>
  <c r="AA26" i="66"/>
  <c r="AM54" i="66"/>
  <c r="AH52" i="66"/>
  <c r="AK52" i="66" s="1"/>
  <c r="AC52" i="66"/>
  <c r="AJ52" i="66" s="1"/>
  <c r="AB52" i="66"/>
  <c r="AI52" i="66" s="1"/>
  <c r="Z13" i="66"/>
  <c r="Z12" i="66" s="1"/>
  <c r="Z65" i="66" s="1"/>
  <c r="P12" i="66"/>
  <c r="AH40" i="66"/>
  <c r="AK40" i="66" s="1"/>
  <c r="AC40" i="66"/>
  <c r="AJ40" i="66" s="1"/>
  <c r="AB40" i="66"/>
  <c r="AI40" i="66" s="1"/>
  <c r="AD14" i="66"/>
  <c r="AA14" i="66"/>
  <c r="Q12" i="66"/>
  <c r="AA13" i="66"/>
  <c r="AD13" i="66"/>
  <c r="AD58" i="66"/>
  <c r="AA58" i="66"/>
  <c r="AJ10" i="66"/>
  <c r="AG52" i="66"/>
  <c r="AL52" i="66"/>
  <c r="AF52" i="66"/>
  <c r="AE52" i="66"/>
  <c r="AE40" i="66"/>
  <c r="AL40" i="66"/>
  <c r="AG40" i="66"/>
  <c r="AF40" i="66"/>
  <c r="AK48" i="66"/>
  <c r="AM48" i="66" s="1"/>
  <c r="AM22" i="66"/>
  <c r="AH16" i="66"/>
  <c r="AK16" i="66" s="1"/>
  <c r="AC16" i="66"/>
  <c r="AJ16" i="66" s="1"/>
  <c r="AB16" i="66"/>
  <c r="AI16" i="66" s="1"/>
  <c r="Q45" i="66"/>
  <c r="AA50" i="66"/>
  <c r="AD50" i="66"/>
  <c r="AD57" i="66"/>
  <c r="AA57" i="66"/>
  <c r="AD53" i="66"/>
  <c r="AA53" i="66"/>
  <c r="AL16" i="66"/>
  <c r="AG16" i="66"/>
  <c r="AF16" i="66"/>
  <c r="AE16" i="66"/>
  <c r="AK60" i="66" l="1"/>
  <c r="AM60" i="66" s="1"/>
  <c r="AM25" i="66"/>
  <c r="AE24" i="66"/>
  <c r="AM51" i="66"/>
  <c r="AM28" i="66"/>
  <c r="AB15" i="66"/>
  <c r="AI15" i="66" s="1"/>
  <c r="AM10" i="66"/>
  <c r="AF24" i="66"/>
  <c r="AG24" i="66"/>
  <c r="AM24" i="66" s="1"/>
  <c r="AM38" i="66"/>
  <c r="AK15" i="66"/>
  <c r="AM15" i="66" s="1"/>
  <c r="AG33" i="66"/>
  <c r="AF33" i="66"/>
  <c r="AL33" i="66"/>
  <c r="AM29" i="66"/>
  <c r="AM30" i="66"/>
  <c r="AM64" i="66"/>
  <c r="AD66" i="66"/>
  <c r="AL32" i="66"/>
  <c r="AF32" i="66"/>
  <c r="AF66" i="66" s="1"/>
  <c r="AG32" i="66"/>
  <c r="AE32" i="66"/>
  <c r="AE66" i="66" s="1"/>
  <c r="AM40" i="66"/>
  <c r="AH46" i="66"/>
  <c r="AK46" i="66" s="1"/>
  <c r="AC42" i="66"/>
  <c r="AJ42" i="66" s="1"/>
  <c r="AB42" i="66"/>
  <c r="AI42" i="66" s="1"/>
  <c r="AH42" i="66"/>
  <c r="AK42" i="66" s="1"/>
  <c r="AC63" i="66"/>
  <c r="AJ63" i="66" s="1"/>
  <c r="AB63" i="66"/>
  <c r="AI63" i="66" s="1"/>
  <c r="AH63" i="66"/>
  <c r="AK63" i="66" s="1"/>
  <c r="AF23" i="66"/>
  <c r="AE23" i="66"/>
  <c r="AL23" i="66"/>
  <c r="AG23" i="66"/>
  <c r="AA47" i="66"/>
  <c r="AD47" i="66"/>
  <c r="AH49" i="66"/>
  <c r="AK49" i="66" s="1"/>
  <c r="AC49" i="66"/>
  <c r="AJ49" i="66" s="1"/>
  <c r="AB49" i="66"/>
  <c r="AI49" i="66" s="1"/>
  <c r="AH53" i="66"/>
  <c r="AK53" i="66" s="1"/>
  <c r="AC53" i="66"/>
  <c r="AJ53" i="66" s="1"/>
  <c r="AB53" i="66"/>
  <c r="AI53" i="66" s="1"/>
  <c r="AG42" i="66"/>
  <c r="AF42" i="66"/>
  <c r="AE42" i="66"/>
  <c r="AL42" i="66"/>
  <c r="AF63" i="66"/>
  <c r="AE63" i="66"/>
  <c r="AL63" i="66"/>
  <c r="AG63" i="66"/>
  <c r="AH23" i="66"/>
  <c r="AK23" i="66" s="1"/>
  <c r="AC23" i="66"/>
  <c r="AJ23" i="66" s="1"/>
  <c r="AB23" i="66"/>
  <c r="AI23" i="66" s="1"/>
  <c r="AM62" i="66"/>
  <c r="AE49" i="66"/>
  <c r="AL49" i="66"/>
  <c r="AG49" i="66"/>
  <c r="AF49" i="66"/>
  <c r="AF17" i="66"/>
  <c r="AL17" i="66"/>
  <c r="AG17" i="66"/>
  <c r="AE17" i="66"/>
  <c r="AM36" i="66"/>
  <c r="AA31" i="66"/>
  <c r="AD31" i="66"/>
  <c r="AE20" i="66"/>
  <c r="AL20" i="66"/>
  <c r="AG20" i="66"/>
  <c r="AF20" i="66"/>
  <c r="AM44" i="66"/>
  <c r="AE53" i="66"/>
  <c r="AL53" i="66"/>
  <c r="AG53" i="66"/>
  <c r="AF53" i="66"/>
  <c r="AF13" i="66"/>
  <c r="AL13" i="66"/>
  <c r="AE13" i="66"/>
  <c r="AG13" i="66"/>
  <c r="AH18" i="66"/>
  <c r="AK18" i="66" s="1"/>
  <c r="AC18" i="66"/>
  <c r="AJ18" i="66" s="1"/>
  <c r="AB18" i="66"/>
  <c r="AI18" i="66" s="1"/>
  <c r="AE18" i="66"/>
  <c r="AL18" i="66"/>
  <c r="AF18" i="66"/>
  <c r="AG18" i="66"/>
  <c r="AA66" i="66"/>
  <c r="AC32" i="66"/>
  <c r="AB32" i="66"/>
  <c r="AH32" i="66"/>
  <c r="AK32" i="66" s="1"/>
  <c r="AG50" i="66"/>
  <c r="AF50" i="66"/>
  <c r="AL50" i="66"/>
  <c r="AE50" i="66"/>
  <c r="AD12" i="66"/>
  <c r="AA12" i="66"/>
  <c r="AL58" i="66"/>
  <c r="AG58" i="66"/>
  <c r="AF58" i="66"/>
  <c r="AE58" i="66"/>
  <c r="AC57" i="66"/>
  <c r="AJ57" i="66" s="1"/>
  <c r="AB57" i="66"/>
  <c r="AI57" i="66" s="1"/>
  <c r="AH57" i="66"/>
  <c r="AK57" i="66" s="1"/>
  <c r="AB20" i="66"/>
  <c r="AI20" i="66" s="1"/>
  <c r="AC20" i="66"/>
  <c r="AJ20" i="66" s="1"/>
  <c r="AH20" i="66"/>
  <c r="AK20" i="66" s="1"/>
  <c r="AC50" i="66"/>
  <c r="AJ50" i="66" s="1"/>
  <c r="AB50" i="66"/>
  <c r="AI50" i="66" s="1"/>
  <c r="AH50" i="66"/>
  <c r="AK50" i="66" s="1"/>
  <c r="AM52" i="66"/>
  <c r="AM55" i="66"/>
  <c r="AA61" i="66"/>
  <c r="AD61" i="66"/>
  <c r="AF57" i="66"/>
  <c r="AE57" i="66"/>
  <c r="AL57" i="66"/>
  <c r="AG57" i="66"/>
  <c r="AC13" i="66"/>
  <c r="AJ13" i="66" s="1"/>
  <c r="AH13" i="66"/>
  <c r="AK13" i="66" s="1"/>
  <c r="AB13" i="66"/>
  <c r="AI13" i="66" s="1"/>
  <c r="AH14" i="66"/>
  <c r="AK14" i="66" s="1"/>
  <c r="AC14" i="66"/>
  <c r="AJ14" i="66" s="1"/>
  <c r="AB14" i="66"/>
  <c r="AI14" i="66" s="1"/>
  <c r="AB34" i="66"/>
  <c r="AI34" i="66" s="1"/>
  <c r="AH34" i="66"/>
  <c r="AK34" i="66" s="1"/>
  <c r="AC34" i="66"/>
  <c r="AJ34" i="66" s="1"/>
  <c r="AE14" i="66"/>
  <c r="AL14" i="66"/>
  <c r="AG14" i="66"/>
  <c r="AF14" i="66"/>
  <c r="AB26" i="66"/>
  <c r="AI26" i="66" s="1"/>
  <c r="AH26" i="66"/>
  <c r="AK26" i="66" s="1"/>
  <c r="AC26" i="66"/>
  <c r="AJ26" i="66" s="1"/>
  <c r="AL34" i="66"/>
  <c r="AG34" i="66"/>
  <c r="AF34" i="66"/>
  <c r="AE34" i="66"/>
  <c r="AM59" i="66"/>
  <c r="AM16" i="66"/>
  <c r="AE26" i="66"/>
  <c r="AL26" i="66"/>
  <c r="AG26" i="66"/>
  <c r="AF26" i="66"/>
  <c r="AM37" i="66"/>
  <c r="AD45" i="66"/>
  <c r="AG45" i="66" s="1"/>
  <c r="AA45" i="66"/>
  <c r="AH58" i="66"/>
  <c r="AK58" i="66" s="1"/>
  <c r="AC58" i="66"/>
  <c r="AJ58" i="66" s="1"/>
  <c r="AB58" i="66"/>
  <c r="AI58" i="66" s="1"/>
  <c r="AB17" i="66"/>
  <c r="AI17" i="66" s="1"/>
  <c r="AH17" i="66"/>
  <c r="AK17" i="66" s="1"/>
  <c r="AC17" i="66"/>
  <c r="AJ17" i="66" s="1"/>
  <c r="AM35" i="66"/>
  <c r="AM33" i="66" l="1"/>
  <c r="AM34" i="66"/>
  <c r="AM13" i="66"/>
  <c r="AM53" i="66"/>
  <c r="AG47" i="66"/>
  <c r="AF47" i="66"/>
  <c r="AE47" i="66"/>
  <c r="AL47" i="66"/>
  <c r="AM50" i="66"/>
  <c r="AC47" i="66"/>
  <c r="AJ47" i="66" s="1"/>
  <c r="AB47" i="66"/>
  <c r="AI47" i="66" s="1"/>
  <c r="AH47" i="66"/>
  <c r="AK47" i="66" s="1"/>
  <c r="AM23" i="66"/>
  <c r="AM26" i="66"/>
  <c r="AB66" i="66"/>
  <c r="AI66" i="66" s="1"/>
  <c r="AI32" i="66"/>
  <c r="AM20" i="66"/>
  <c r="AM17" i="66"/>
  <c r="AL46" i="66"/>
  <c r="AM46" i="66" s="1"/>
  <c r="AC66" i="66"/>
  <c r="AJ66" i="66" s="1"/>
  <c r="AJ32" i="66"/>
  <c r="AM42" i="66"/>
  <c r="AH45" i="66"/>
  <c r="AK45" i="66" s="1"/>
  <c r="AM57" i="66"/>
  <c r="AM58" i="66"/>
  <c r="AH66" i="66"/>
  <c r="AK66" i="66" s="1"/>
  <c r="AM14" i="66"/>
  <c r="AM18" i="66"/>
  <c r="AL31" i="66"/>
  <c r="AG31" i="66"/>
  <c r="AF31" i="66"/>
  <c r="AE31" i="66"/>
  <c r="AM32" i="66"/>
  <c r="AM49" i="66"/>
  <c r="AE12" i="66"/>
  <c r="AE65" i="66" s="1"/>
  <c r="AL12" i="66"/>
  <c r="AG12" i="66"/>
  <c r="AF12" i="66"/>
  <c r="AF65" i="66" s="1"/>
  <c r="AD65" i="66"/>
  <c r="AH12" i="66"/>
  <c r="AK12" i="66" s="1"/>
  <c r="AC12" i="66"/>
  <c r="AB12" i="66"/>
  <c r="AA65" i="66"/>
  <c r="AB31" i="66"/>
  <c r="AI31" i="66" s="1"/>
  <c r="AH31" i="66"/>
  <c r="AK31" i="66" s="1"/>
  <c r="AC31" i="66"/>
  <c r="AJ31" i="66" s="1"/>
  <c r="AF61" i="66"/>
  <c r="AE61" i="66"/>
  <c r="AL61" i="66"/>
  <c r="AG61" i="66"/>
  <c r="AL66" i="66"/>
  <c r="AG66" i="66"/>
  <c r="AM63" i="66"/>
  <c r="AB61" i="66"/>
  <c r="AI61" i="66" s="1"/>
  <c r="AH61" i="66"/>
  <c r="AK61" i="66" s="1"/>
  <c r="AC61" i="66"/>
  <c r="AJ61" i="66" s="1"/>
  <c r="AM61" i="66" l="1"/>
  <c r="AH65" i="66"/>
  <c r="AK65" i="66" s="1"/>
  <c r="AL45" i="66"/>
  <c r="AI12" i="66"/>
  <c r="AB65" i="66"/>
  <c r="AI65" i="66" s="1"/>
  <c r="AL65" i="66"/>
  <c r="AG65" i="66"/>
  <c r="AM45" i="66"/>
  <c r="AM66" i="66"/>
  <c r="F72" i="66"/>
  <c r="H72" i="66" s="1"/>
  <c r="M72" i="66" s="1"/>
  <c r="AM12" i="66"/>
  <c r="AM31" i="66"/>
  <c r="AJ12" i="66"/>
  <c r="AC65" i="66"/>
  <c r="AJ65" i="66" s="1"/>
  <c r="AM47" i="66"/>
  <c r="F71" i="66" l="1"/>
  <c r="H71" i="66" s="1"/>
  <c r="AM65" i="66"/>
  <c r="H30" i="64" l="1"/>
  <c r="K30" i="64" s="1"/>
  <c r="M30" i="64"/>
  <c r="P30" i="64" l="1"/>
  <c r="G11" i="65"/>
  <c r="H11" i="65" s="1"/>
  <c r="G9" i="65"/>
  <c r="H9" i="65" s="1"/>
  <c r="T12" i="65"/>
  <c r="H19" i="65"/>
  <c r="H18" i="65"/>
  <c r="H16" i="65"/>
  <c r="H15" i="65"/>
  <c r="H14" i="65"/>
  <c r="H13" i="65"/>
  <c r="H10" i="65"/>
  <c r="H8" i="65"/>
  <c r="C42" i="65" l="1"/>
  <c r="C41" i="65"/>
  <c r="B39" i="65"/>
  <c r="D39" i="65" s="1"/>
  <c r="AC31" i="65"/>
  <c r="AC30" i="65"/>
  <c r="D25" i="65"/>
  <c r="D24" i="65"/>
  <c r="Z20" i="65"/>
  <c r="W20" i="65"/>
  <c r="E20" i="65"/>
  <c r="C20" i="65"/>
  <c r="AC19" i="65"/>
  <c r="AA19" i="65"/>
  <c r="X19" i="65"/>
  <c r="L19" i="65"/>
  <c r="M19" i="65" s="1"/>
  <c r="N19" i="65" s="1"/>
  <c r="O19" i="65" s="1"/>
  <c r="P19" i="65" s="1"/>
  <c r="I19" i="65"/>
  <c r="F19" i="65"/>
  <c r="AA18" i="65"/>
  <c r="X18" i="65"/>
  <c r="M18" i="65"/>
  <c r="N18" i="65" s="1"/>
  <c r="O18" i="65" s="1"/>
  <c r="P18" i="65" s="1"/>
  <c r="L18" i="65"/>
  <c r="G18" i="65"/>
  <c r="AC18" i="65" s="1"/>
  <c r="F18" i="65"/>
  <c r="X16" i="65"/>
  <c r="L16" i="65"/>
  <c r="M16" i="65" s="1"/>
  <c r="F16" i="65"/>
  <c r="E16" i="65"/>
  <c r="P15" i="65"/>
  <c r="Y15" i="65" s="1"/>
  <c r="X14" i="65"/>
  <c r="L14" i="65"/>
  <c r="M14" i="65" s="1"/>
  <c r="N14" i="65" s="1"/>
  <c r="O14" i="65" s="1"/>
  <c r="P14" i="65" s="1"/>
  <c r="G14" i="65"/>
  <c r="AC14" i="65" s="1"/>
  <c r="F14" i="65"/>
  <c r="X13" i="65"/>
  <c r="V13" i="65"/>
  <c r="L13" i="65"/>
  <c r="M13" i="65" s="1"/>
  <c r="F13" i="65"/>
  <c r="X11" i="65"/>
  <c r="L11" i="65"/>
  <c r="M11" i="65" s="1"/>
  <c r="F11" i="65"/>
  <c r="E11" i="65"/>
  <c r="X10" i="65"/>
  <c r="L10" i="65"/>
  <c r="M10" i="65" s="1"/>
  <c r="N10" i="65" s="1"/>
  <c r="O10" i="65" s="1"/>
  <c r="P10" i="65" s="1"/>
  <c r="Q10" i="65" s="1"/>
  <c r="F10" i="65"/>
  <c r="X9" i="65"/>
  <c r="L9" i="65"/>
  <c r="M9" i="65" s="1"/>
  <c r="N9" i="65" s="1"/>
  <c r="O9" i="65" s="1"/>
  <c r="P9" i="65" s="1"/>
  <c r="F9" i="65"/>
  <c r="X8" i="65"/>
  <c r="V8" i="65"/>
  <c r="L8" i="65"/>
  <c r="M8" i="65" s="1"/>
  <c r="N8" i="65" s="1"/>
  <c r="O8" i="65" s="1"/>
  <c r="P8" i="65" s="1"/>
  <c r="Q8" i="65" s="1"/>
  <c r="T8" i="65" s="1"/>
  <c r="F8" i="65"/>
  <c r="T10" i="65" l="1"/>
  <c r="AA11" i="65"/>
  <c r="D49" i="64"/>
  <c r="AA14" i="65"/>
  <c r="I9" i="65"/>
  <c r="F20" i="65"/>
  <c r="X20" i="65"/>
  <c r="Y18" i="65"/>
  <c r="Q18" i="65"/>
  <c r="Y14" i="65"/>
  <c r="Q14" i="65"/>
  <c r="Q9" i="65"/>
  <c r="I11" i="65"/>
  <c r="AD13" i="65"/>
  <c r="AB13" i="65"/>
  <c r="V20" i="65"/>
  <c r="G8" i="65"/>
  <c r="G10" i="65"/>
  <c r="G13" i="65"/>
  <c r="AC11" i="65"/>
  <c r="Y19" i="65"/>
  <c r="Q19" i="65"/>
  <c r="I18" i="65"/>
  <c r="I14" i="65"/>
  <c r="D55" i="64" l="1"/>
  <c r="J55" i="64" s="1"/>
  <c r="D72" i="64"/>
  <c r="J72" i="64" s="1"/>
  <c r="D44" i="64"/>
  <c r="J44" i="64" s="1"/>
  <c r="Y9" i="65"/>
  <c r="T18" i="65"/>
  <c r="AA9" i="65"/>
  <c r="AC9" i="65"/>
  <c r="T19" i="65"/>
  <c r="I8" i="65"/>
  <c r="AA8" i="65"/>
  <c r="Y8" i="65"/>
  <c r="G20" i="65"/>
  <c r="AC8" i="65"/>
  <c r="AB19" i="65"/>
  <c r="AD19" i="65"/>
  <c r="AC10" i="65"/>
  <c r="I10" i="65"/>
  <c r="AA10" i="65"/>
  <c r="Y10" i="65"/>
  <c r="T9" i="65"/>
  <c r="AC13" i="65"/>
  <c r="I13" i="65"/>
  <c r="G16" i="65"/>
  <c r="AA13" i="65"/>
  <c r="P13" i="65"/>
  <c r="AB14" i="65"/>
  <c r="Y16" i="65"/>
  <c r="AD14" i="65"/>
  <c r="AD18" i="65"/>
  <c r="AB18" i="65"/>
  <c r="T14" i="65"/>
  <c r="I55" i="64" l="1"/>
  <c r="I44" i="64"/>
  <c r="I72" i="64"/>
  <c r="AB9" i="65"/>
  <c r="AD9" i="65"/>
  <c r="AD10" i="65"/>
  <c r="AB10" i="65"/>
  <c r="P16" i="65"/>
  <c r="AD16" i="65"/>
  <c r="AB16" i="65"/>
  <c r="O13" i="65"/>
  <c r="N13" i="65" s="1"/>
  <c r="Q13" i="65"/>
  <c r="T13" i="65" s="1"/>
  <c r="AC16" i="65"/>
  <c r="I16" i="65"/>
  <c r="AA16" i="65"/>
  <c r="AB8" i="65"/>
  <c r="Y20" i="65"/>
  <c r="Y24" i="65" s="1"/>
  <c r="Y11" i="65"/>
  <c r="AD8" i="65"/>
  <c r="O16" i="65" l="1"/>
  <c r="N16" i="65" s="1"/>
  <c r="Q16" i="65"/>
  <c r="P12" i="65"/>
  <c r="Z24" i="65"/>
  <c r="AB24" i="65"/>
  <c r="P11" i="65"/>
  <c r="AD11" i="65"/>
  <c r="AB11" i="65"/>
  <c r="Q11" i="65" l="1"/>
  <c r="O11" i="65"/>
  <c r="N11" i="65" s="1"/>
  <c r="P7" i="65"/>
  <c r="T16" i="65"/>
  <c r="Q12" i="65"/>
  <c r="T7" i="65" l="1"/>
  <c r="Q7" i="65"/>
  <c r="T11" i="65"/>
  <c r="E10" i="64" l="1"/>
  <c r="B10" i="64"/>
  <c r="A10" i="64"/>
  <c r="E58" i="64"/>
  <c r="C57" i="64"/>
  <c r="N18" i="53" l="1"/>
  <c r="N17" i="53"/>
  <c r="C18" i="56" l="1"/>
  <c r="D32" i="64" l="1"/>
  <c r="D34" i="64" l="1"/>
  <c r="J34" i="64" s="1"/>
  <c r="D35" i="64"/>
  <c r="J35" i="64" s="1"/>
  <c r="D33" i="64"/>
  <c r="J33" i="64" s="1"/>
  <c r="I35" i="64" l="1"/>
  <c r="I33" i="64"/>
  <c r="I34" i="64"/>
  <c r="I18" i="56" l="1"/>
  <c r="H18" i="56"/>
  <c r="I17" i="56"/>
  <c r="H17" i="56"/>
  <c r="G18" i="56"/>
  <c r="G17" i="56"/>
  <c r="F18" i="56"/>
  <c r="F17" i="56"/>
  <c r="E18" i="56"/>
  <c r="E17" i="56"/>
  <c r="C17" i="56"/>
  <c r="B50" i="56"/>
  <c r="C50" i="56" s="1"/>
  <c r="B49" i="56"/>
  <c r="C49" i="56" s="1"/>
  <c r="B48" i="56"/>
  <c r="C51" i="56" l="1"/>
  <c r="A64" i="51" l="1"/>
  <c r="B64" i="51"/>
  <c r="C64" i="51"/>
  <c r="E64" i="51"/>
  <c r="G64" i="51"/>
  <c r="M64" i="51"/>
  <c r="A65" i="51"/>
  <c r="B65" i="51"/>
  <c r="C65" i="51"/>
  <c r="D65" i="51"/>
  <c r="I65" i="51" s="1"/>
  <c r="E65" i="51"/>
  <c r="G65" i="51"/>
  <c r="M65" i="51"/>
  <c r="A66" i="51"/>
  <c r="B66" i="51"/>
  <c r="C66" i="51"/>
  <c r="D66" i="51"/>
  <c r="E66" i="51"/>
  <c r="G66" i="51"/>
  <c r="M66" i="51"/>
  <c r="I66" i="51" l="1"/>
  <c r="D64" i="51" l="1"/>
  <c r="I64" i="51" s="1"/>
  <c r="D53" i="47"/>
  <c r="D52" i="47"/>
  <c r="D51" i="47"/>
  <c r="D50" i="47"/>
  <c r="D49" i="47"/>
  <c r="D48" i="47"/>
  <c r="D47" i="47"/>
  <c r="D46" i="47"/>
  <c r="D45" i="47"/>
  <c r="D44" i="47"/>
  <c r="D43" i="47"/>
  <c r="D42" i="47"/>
  <c r="D41" i="47"/>
  <c r="D40" i="47"/>
  <c r="D39" i="47"/>
  <c r="D38" i="47"/>
  <c r="D37" i="47"/>
  <c r="D36" i="47"/>
  <c r="D35" i="47"/>
  <c r="D34" i="47"/>
  <c r="D33" i="47"/>
  <c r="D32" i="47"/>
  <c r="D31" i="47"/>
  <c r="D30" i="47"/>
  <c r="D29" i="47"/>
  <c r="D28" i="47"/>
  <c r="D27" i="47"/>
  <c r="D26" i="47"/>
  <c r="D25" i="47"/>
  <c r="D24" i="47"/>
  <c r="D23" i="47"/>
  <c r="D22" i="47"/>
  <c r="D21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M84" i="51"/>
  <c r="M41" i="51"/>
  <c r="M42" i="51"/>
  <c r="M44" i="51"/>
  <c r="M47" i="51"/>
  <c r="M48" i="51"/>
  <c r="M49" i="51"/>
  <c r="M50" i="51"/>
  <c r="M52" i="51"/>
  <c r="M53" i="51"/>
  <c r="M55" i="51"/>
  <c r="M56" i="51"/>
  <c r="M58" i="51"/>
  <c r="M59" i="51"/>
  <c r="M60" i="51"/>
  <c r="M61" i="51"/>
  <c r="M62" i="51"/>
  <c r="M63" i="51"/>
  <c r="M67" i="51"/>
  <c r="M69" i="51"/>
  <c r="M71" i="51"/>
  <c r="M72" i="51"/>
  <c r="M74" i="51"/>
  <c r="M75" i="51"/>
  <c r="M77" i="51"/>
  <c r="M78" i="51"/>
  <c r="M79" i="51"/>
  <c r="M80" i="51"/>
  <c r="M81" i="51"/>
  <c r="M82" i="51"/>
  <c r="M83" i="51"/>
  <c r="M85" i="51"/>
  <c r="M86" i="51"/>
  <c r="M87" i="51"/>
  <c r="M88" i="51"/>
  <c r="M39" i="51"/>
  <c r="M13" i="51"/>
  <c r="M14" i="51"/>
  <c r="M15" i="51"/>
  <c r="M16" i="51"/>
  <c r="M17" i="51"/>
  <c r="M18" i="51"/>
  <c r="M19" i="51"/>
  <c r="M20" i="51"/>
  <c r="M21" i="51"/>
  <c r="M22" i="51"/>
  <c r="M23" i="51"/>
  <c r="M24" i="51"/>
  <c r="M25" i="51"/>
  <c r="M26" i="51"/>
  <c r="M27" i="51"/>
  <c r="M28" i="51"/>
  <c r="M29" i="51"/>
  <c r="M30" i="51"/>
  <c r="M31" i="51"/>
  <c r="M32" i="51"/>
  <c r="M33" i="51"/>
  <c r="M34" i="51"/>
  <c r="M35" i="51"/>
  <c r="M36" i="51"/>
  <c r="M37" i="51"/>
  <c r="M38" i="51"/>
  <c r="C35" i="51"/>
  <c r="E35" i="51"/>
  <c r="G35" i="51"/>
  <c r="C36" i="51"/>
  <c r="D36" i="51"/>
  <c r="E36" i="51"/>
  <c r="G36" i="51"/>
  <c r="E37" i="51"/>
  <c r="C38" i="51"/>
  <c r="E38" i="51"/>
  <c r="B34" i="51"/>
  <c r="B35" i="51"/>
  <c r="B36" i="51"/>
  <c r="B37" i="51"/>
  <c r="B38" i="51"/>
  <c r="A32" i="51"/>
  <c r="A33" i="51"/>
  <c r="A34" i="51"/>
  <c r="A35" i="51"/>
  <c r="A36" i="51"/>
  <c r="A37" i="51"/>
  <c r="M12" i="51"/>
  <c r="M10" i="51"/>
  <c r="I36" i="51" l="1"/>
  <c r="H79" i="58"/>
  <c r="K79" i="58"/>
  <c r="E79" i="58" l="1"/>
  <c r="L22" i="58"/>
  <c r="D4" i="56" l="1"/>
  <c r="D6" i="56"/>
  <c r="D7" i="56"/>
  <c r="D5" i="56"/>
  <c r="C7" i="56" l="1"/>
  <c r="E7" i="56" s="1"/>
  <c r="I7" i="56" s="1"/>
  <c r="M7" i="56" s="1"/>
  <c r="D8" i="56"/>
  <c r="G35" i="64" l="1"/>
  <c r="F7" i="56"/>
  <c r="J7" i="56" s="1"/>
  <c r="N7" i="56" s="1"/>
  <c r="O10" i="56"/>
  <c r="O11" i="56"/>
  <c r="K10" i="56"/>
  <c r="K11" i="56"/>
  <c r="M10" i="56"/>
  <c r="N10" i="56" s="1"/>
  <c r="M11" i="56"/>
  <c r="N11" i="56" s="1"/>
  <c r="I10" i="56"/>
  <c r="J10" i="56" s="1"/>
  <c r="I11" i="56"/>
  <c r="J11" i="56" s="1"/>
  <c r="E10" i="56"/>
  <c r="F10" i="56" s="1"/>
  <c r="M9" i="56" l="1"/>
  <c r="N9" i="56" s="1"/>
  <c r="E11" i="56"/>
  <c r="I9" i="56"/>
  <c r="J9" i="56" s="1"/>
  <c r="E9" i="56"/>
  <c r="F35" i="51" l="1"/>
  <c r="F9" i="56"/>
  <c r="F11" i="56"/>
  <c r="G9" i="56" s="1"/>
  <c r="Q9" i="56" s="1"/>
  <c r="Q10" i="56"/>
  <c r="K9" i="56"/>
  <c r="Q11" i="56" l="1"/>
  <c r="O9" i="56"/>
  <c r="M76" i="51" l="1"/>
  <c r="M73" i="51"/>
  <c r="M68" i="51"/>
  <c r="M57" i="51"/>
  <c r="M54" i="51"/>
  <c r="M51" i="51"/>
  <c r="M46" i="51"/>
  <c r="M43" i="51"/>
  <c r="M40" i="51"/>
  <c r="D38" i="64" l="1"/>
  <c r="J38" i="64" s="1"/>
  <c r="D38" i="51"/>
  <c r="I38" i="64" l="1"/>
  <c r="I38" i="51"/>
  <c r="K38" i="51"/>
  <c r="M18" i="53" l="1"/>
  <c r="M17" i="53"/>
  <c r="L18" i="53"/>
  <c r="L17" i="53"/>
  <c r="B24" i="53"/>
  <c r="A24" i="53"/>
  <c r="G63" i="51" l="1"/>
  <c r="E63" i="51"/>
  <c r="D63" i="51"/>
  <c r="C63" i="51"/>
  <c r="B63" i="51"/>
  <c r="A63" i="51"/>
  <c r="G62" i="51"/>
  <c r="C62" i="51"/>
  <c r="B62" i="51"/>
  <c r="A62" i="51"/>
  <c r="A38" i="51"/>
  <c r="I63" i="51" l="1"/>
  <c r="E57" i="64" l="1"/>
  <c r="D57" i="64" l="1"/>
  <c r="E62" i="51"/>
  <c r="D62" i="51"/>
  <c r="I62" i="51" s="1"/>
  <c r="I57" i="64" l="1"/>
  <c r="D28" i="53" l="1"/>
  <c r="C28" i="53"/>
  <c r="B5" i="53" l="1"/>
  <c r="B4" i="53"/>
  <c r="B28" i="53"/>
  <c r="K17" i="53"/>
  <c r="K18" i="53"/>
  <c r="G9" i="53"/>
  <c r="F9" i="53"/>
  <c r="E9" i="53"/>
  <c r="E10" i="53"/>
  <c r="D9" i="53"/>
  <c r="D10" i="53"/>
  <c r="C10" i="53"/>
  <c r="B10" i="53"/>
  <c r="D8" i="53"/>
  <c r="E8" i="53"/>
  <c r="F8" i="53"/>
  <c r="G8" i="53"/>
  <c r="C8" i="53"/>
  <c r="B8" i="53"/>
  <c r="Z3" i="47"/>
  <c r="Z2" i="47"/>
  <c r="Z1" i="47"/>
  <c r="F53" i="47" l="1"/>
  <c r="F41" i="47"/>
  <c r="F29" i="47"/>
  <c r="F17" i="47"/>
  <c r="F52" i="47"/>
  <c r="F40" i="47"/>
  <c r="F28" i="47"/>
  <c r="F16" i="47"/>
  <c r="F51" i="47"/>
  <c r="F39" i="47"/>
  <c r="F27" i="47"/>
  <c r="F15" i="47"/>
  <c r="F50" i="47"/>
  <c r="F38" i="47"/>
  <c r="F26" i="47"/>
  <c r="F14" i="47"/>
  <c r="F49" i="47"/>
  <c r="F37" i="47"/>
  <c r="F25" i="47"/>
  <c r="F13" i="47"/>
  <c r="F48" i="47"/>
  <c r="F36" i="47"/>
  <c r="F24" i="47"/>
  <c r="F12" i="47"/>
  <c r="F47" i="47"/>
  <c r="F35" i="47"/>
  <c r="F23" i="47"/>
  <c r="F10" i="47"/>
  <c r="F46" i="47"/>
  <c r="F34" i="47"/>
  <c r="F22" i="47"/>
  <c r="F9" i="47"/>
  <c r="F45" i="47"/>
  <c r="F33" i="47"/>
  <c r="F21" i="47"/>
  <c r="F44" i="47"/>
  <c r="F32" i="47"/>
  <c r="F20" i="47"/>
  <c r="F43" i="47"/>
  <c r="F31" i="47"/>
  <c r="F19" i="47"/>
  <c r="F42" i="47"/>
  <c r="F30" i="47"/>
  <c r="F18" i="47"/>
  <c r="F78" i="51" l="1"/>
  <c r="E78" i="51"/>
  <c r="E77" i="51"/>
  <c r="B77" i="51"/>
  <c r="A77" i="51"/>
  <c r="E76" i="51"/>
  <c r="C76" i="51"/>
  <c r="B76" i="51"/>
  <c r="A76" i="51"/>
  <c r="E75" i="51"/>
  <c r="B75" i="51"/>
  <c r="A75" i="51"/>
  <c r="E74" i="51"/>
  <c r="B74" i="51"/>
  <c r="A74" i="51"/>
  <c r="E73" i="51"/>
  <c r="C73" i="51"/>
  <c r="B73" i="51"/>
  <c r="A73" i="51"/>
  <c r="E72" i="51"/>
  <c r="B72" i="51"/>
  <c r="A72" i="51"/>
  <c r="E71" i="51"/>
  <c r="B71" i="51"/>
  <c r="A71" i="51"/>
  <c r="L70" i="51"/>
  <c r="K70" i="51"/>
  <c r="J70" i="51"/>
  <c r="I70" i="51"/>
  <c r="H70" i="51"/>
  <c r="F70" i="51"/>
  <c r="E70" i="51"/>
  <c r="D70" i="51"/>
  <c r="C70" i="51"/>
  <c r="B70" i="51"/>
  <c r="A70" i="51"/>
  <c r="E69" i="51"/>
  <c r="B69" i="51"/>
  <c r="A69" i="51"/>
  <c r="E68" i="51"/>
  <c r="B68" i="51"/>
  <c r="A68" i="51"/>
  <c r="E67" i="51"/>
  <c r="A67" i="51"/>
  <c r="H61" i="51"/>
  <c r="E61" i="51"/>
  <c r="D61" i="51"/>
  <c r="A61" i="51"/>
  <c r="H60" i="51"/>
  <c r="E60" i="51"/>
  <c r="D60" i="51"/>
  <c r="A60" i="51"/>
  <c r="H59" i="51"/>
  <c r="E59" i="51"/>
  <c r="A59" i="51"/>
  <c r="E58" i="51"/>
  <c r="B58" i="51"/>
  <c r="A58" i="51"/>
  <c r="E57" i="51"/>
  <c r="C57" i="51"/>
  <c r="B57" i="51"/>
  <c r="A57" i="51"/>
  <c r="E56" i="51"/>
  <c r="B56" i="51"/>
  <c r="A56" i="51"/>
  <c r="E55" i="51"/>
  <c r="B55" i="51"/>
  <c r="A55" i="51"/>
  <c r="E54" i="51"/>
  <c r="C54" i="51"/>
  <c r="B54" i="51"/>
  <c r="A54" i="51"/>
  <c r="E53" i="51"/>
  <c r="B53" i="51"/>
  <c r="A53" i="51"/>
  <c r="E52" i="51"/>
  <c r="C52" i="51"/>
  <c r="B52" i="51"/>
  <c r="A52" i="51"/>
  <c r="E51" i="51"/>
  <c r="B51" i="51"/>
  <c r="A51" i="51"/>
  <c r="E50" i="51"/>
  <c r="B50" i="51"/>
  <c r="A50" i="51"/>
  <c r="E49" i="51"/>
  <c r="D49" i="51"/>
  <c r="C49" i="51"/>
  <c r="B49" i="51"/>
  <c r="A49" i="51"/>
  <c r="E48" i="51"/>
  <c r="C48" i="51"/>
  <c r="B48" i="51"/>
  <c r="A48" i="51"/>
  <c r="E47" i="51"/>
  <c r="B47" i="51"/>
  <c r="A47" i="51"/>
  <c r="E46" i="51"/>
  <c r="C46" i="51"/>
  <c r="B46" i="51"/>
  <c r="A46" i="51"/>
  <c r="E45" i="51"/>
  <c r="B45" i="51"/>
  <c r="A45" i="51"/>
  <c r="E44" i="51"/>
  <c r="B44" i="51"/>
  <c r="A44" i="51"/>
  <c r="E43" i="51"/>
  <c r="C43" i="51"/>
  <c r="B43" i="51"/>
  <c r="A43" i="51"/>
  <c r="E42" i="51"/>
  <c r="B42" i="51"/>
  <c r="A42" i="51"/>
  <c r="E41" i="51"/>
  <c r="B41" i="51"/>
  <c r="A41" i="51"/>
  <c r="E40" i="51"/>
  <c r="C40" i="51"/>
  <c r="B40" i="51"/>
  <c r="A40" i="51"/>
  <c r="E39" i="51"/>
  <c r="B39" i="51"/>
  <c r="A39" i="51"/>
  <c r="G34" i="51"/>
  <c r="E34" i="51"/>
  <c r="C34" i="51"/>
  <c r="E33" i="51"/>
  <c r="B33" i="51"/>
  <c r="E32" i="51"/>
  <c r="B32" i="51"/>
  <c r="E31" i="51"/>
  <c r="B31" i="51"/>
  <c r="A31" i="51"/>
  <c r="G30" i="51"/>
  <c r="E30" i="51"/>
  <c r="D30" i="51"/>
  <c r="C30" i="51"/>
  <c r="B30" i="51"/>
  <c r="A30" i="51"/>
  <c r="G29" i="51"/>
  <c r="E29" i="51"/>
  <c r="D29" i="51"/>
  <c r="C29" i="51"/>
  <c r="B29" i="51"/>
  <c r="A29" i="51"/>
  <c r="E28" i="51"/>
  <c r="B28" i="51"/>
  <c r="A28" i="51"/>
  <c r="E27" i="51"/>
  <c r="B27" i="51"/>
  <c r="A27" i="51"/>
  <c r="E26" i="51"/>
  <c r="B26" i="51"/>
  <c r="A26" i="51"/>
  <c r="E25" i="51"/>
  <c r="B25" i="51"/>
  <c r="A25" i="51"/>
  <c r="E24" i="51"/>
  <c r="B24" i="51"/>
  <c r="A24" i="51"/>
  <c r="E23" i="51"/>
  <c r="B23" i="51"/>
  <c r="A23" i="51"/>
  <c r="B22" i="51"/>
  <c r="A22" i="51"/>
  <c r="E21" i="51"/>
  <c r="B21" i="51"/>
  <c r="A21" i="51"/>
  <c r="E20" i="51"/>
  <c r="B20" i="51"/>
  <c r="A20" i="51"/>
  <c r="E19" i="51"/>
  <c r="B19" i="51"/>
  <c r="A19" i="51"/>
  <c r="G18" i="51"/>
  <c r="E18" i="51"/>
  <c r="D18" i="51"/>
  <c r="C18" i="51"/>
  <c r="B18" i="51"/>
  <c r="A18" i="51"/>
  <c r="G17" i="51"/>
  <c r="E17" i="51"/>
  <c r="D17" i="51"/>
  <c r="C17" i="51"/>
  <c r="B17" i="51"/>
  <c r="A17" i="51"/>
  <c r="G16" i="51"/>
  <c r="E16" i="51"/>
  <c r="C16" i="51"/>
  <c r="B16" i="51"/>
  <c r="A16" i="51"/>
  <c r="E15" i="51"/>
  <c r="B15" i="51"/>
  <c r="A15" i="51"/>
  <c r="E14" i="51"/>
  <c r="B14" i="51"/>
  <c r="A14" i="51"/>
  <c r="E13" i="51"/>
  <c r="B13" i="51"/>
  <c r="A13" i="51"/>
  <c r="B12" i="51"/>
  <c r="A12" i="51"/>
  <c r="H11" i="51"/>
  <c r="G11" i="51"/>
  <c r="F11" i="51"/>
  <c r="E11" i="51"/>
  <c r="D11" i="51"/>
  <c r="C11" i="51"/>
  <c r="B11" i="51"/>
  <c r="A11" i="51"/>
  <c r="E10" i="51"/>
  <c r="B10" i="51"/>
  <c r="A10" i="51"/>
  <c r="K49" i="51" l="1"/>
  <c r="I18" i="51"/>
  <c r="I49" i="51"/>
  <c r="I17" i="51"/>
  <c r="I30" i="51"/>
  <c r="I29" i="51"/>
  <c r="C40" i="50" l="1"/>
  <c r="C39" i="50"/>
  <c r="C38" i="50"/>
  <c r="C37" i="50"/>
  <c r="C36" i="50"/>
  <c r="C35" i="50"/>
  <c r="D34" i="50"/>
  <c r="C34" i="50"/>
  <c r="E34" i="50" s="1"/>
  <c r="C33" i="50"/>
  <c r="D32" i="50"/>
  <c r="C32" i="50"/>
  <c r="E32" i="50" s="1"/>
  <c r="E27" i="50"/>
  <c r="B27" i="50"/>
  <c r="D26" i="50"/>
  <c r="D25" i="50"/>
  <c r="D24" i="50"/>
  <c r="D27" i="50" s="1"/>
  <c r="F27" i="50" s="1"/>
  <c r="D16" i="50"/>
  <c r="D37" i="50" s="1"/>
  <c r="D14" i="50"/>
  <c r="D17" i="50" s="1"/>
  <c r="D38" i="50" s="1"/>
  <c r="D13" i="50"/>
  <c r="D12" i="50"/>
  <c r="D33" i="50" s="1"/>
  <c r="D11" i="50"/>
  <c r="E35" i="50" l="1"/>
  <c r="E33" i="50"/>
  <c r="F32" i="50" s="1"/>
  <c r="G32" i="50" s="1"/>
  <c r="E37" i="50"/>
  <c r="E38" i="50"/>
  <c r="D35" i="50"/>
  <c r="D19" i="50"/>
  <c r="D40" i="50" s="1"/>
  <c r="E40" i="50" s="1"/>
  <c r="D15" i="50"/>
  <c r="D36" i="50" l="1"/>
  <c r="E36" i="50" s="1"/>
  <c r="F35" i="50" s="1"/>
  <c r="G35" i="50" s="1"/>
  <c r="H36" i="50" s="1"/>
  <c r="D18" i="50"/>
  <c r="D39" i="50" s="1"/>
  <c r="E39" i="50" s="1"/>
  <c r="F38" i="50" s="1"/>
  <c r="G38" i="50" s="1"/>
  <c r="H40" i="50" l="1"/>
  <c r="D35" i="51" l="1"/>
  <c r="I35" i="51" s="1"/>
  <c r="D34" i="51" l="1"/>
  <c r="I34" i="51" s="1"/>
  <c r="F34" i="51"/>
  <c r="B33" i="48" l="1"/>
  <c r="B13" i="48" s="1"/>
  <c r="I16" i="48" s="1"/>
  <c r="U32" i="48"/>
  <c r="W32" i="48" s="1"/>
  <c r="T32" i="48"/>
  <c r="M31" i="48"/>
  <c r="Q30" i="48"/>
  <c r="R30" i="48" s="1"/>
  <c r="Q29" i="48"/>
  <c r="R29" i="48" s="1"/>
  <c r="Q28" i="48"/>
  <c r="R28" i="48" s="1"/>
  <c r="Q27" i="48"/>
  <c r="R27" i="48" s="1"/>
  <c r="R31" i="48" s="1"/>
  <c r="M24" i="48"/>
  <c r="M32" i="48" s="1"/>
  <c r="O23" i="48"/>
  <c r="Q23" i="48" s="1"/>
  <c r="R23" i="48" s="1"/>
  <c r="Q22" i="48"/>
  <c r="R22" i="48" s="1"/>
  <c r="H22" i="48"/>
  <c r="I22" i="48" s="1"/>
  <c r="F22" i="48"/>
  <c r="Q21" i="48"/>
  <c r="R21" i="48" s="1"/>
  <c r="O21" i="48"/>
  <c r="F21" i="48"/>
  <c r="O20" i="48"/>
  <c r="Q20" i="48" s="1"/>
  <c r="R20" i="48" s="1"/>
  <c r="H20" i="48"/>
  <c r="H32" i="48" s="1"/>
  <c r="F20" i="48"/>
  <c r="M16" i="48"/>
  <c r="H16" i="48"/>
  <c r="D16" i="48"/>
  <c r="U15" i="48"/>
  <c r="W15" i="48" s="1"/>
  <c r="T15" i="48"/>
  <c r="Q15" i="48"/>
  <c r="R15" i="48" s="1"/>
  <c r="I15" i="48"/>
  <c r="G15" i="48"/>
  <c r="W12" i="48"/>
  <c r="U12" i="48"/>
  <c r="T12" i="48"/>
  <c r="M12" i="48"/>
  <c r="M17" i="48" s="1"/>
  <c r="D12" i="48"/>
  <c r="D17" i="48" s="1"/>
  <c r="Q11" i="48"/>
  <c r="R11" i="48" s="1"/>
  <c r="Q10" i="48"/>
  <c r="Q12" i="48" s="1"/>
  <c r="H10" i="48"/>
  <c r="I10" i="48" s="1"/>
  <c r="R9" i="48"/>
  <c r="Q9" i="48"/>
  <c r="H9" i="48"/>
  <c r="I9" i="48" s="1"/>
  <c r="Q6" i="48"/>
  <c r="R6" i="48" s="1"/>
  <c r="H6" i="48"/>
  <c r="H21" i="48" s="1"/>
  <c r="I21" i="48" s="1"/>
  <c r="N48" i="47"/>
  <c r="D16" i="64" l="1"/>
  <c r="D16" i="51"/>
  <c r="I16" i="51" s="1"/>
  <c r="R16" i="48"/>
  <c r="R32" i="48"/>
  <c r="R24" i="48"/>
  <c r="R10" i="48"/>
  <c r="R12" i="48" s="1"/>
  <c r="I6" i="48"/>
  <c r="I12" i="48" s="1"/>
  <c r="H12" i="48"/>
  <c r="D33" i="48"/>
  <c r="I20" i="48"/>
  <c r="I32" i="48" s="1"/>
  <c r="N42" i="47"/>
  <c r="I16" i="64" l="1"/>
  <c r="H35" i="51"/>
  <c r="J35" i="51" s="1"/>
  <c r="M18" i="48"/>
  <c r="M34" i="48"/>
  <c r="R13" i="48"/>
  <c r="R17" i="48" s="1"/>
  <c r="R18" i="48" s="1"/>
  <c r="D32" i="48"/>
  <c r="I33" i="48"/>
  <c r="D18" i="48"/>
  <c r="I13" i="48"/>
  <c r="I17" i="48" s="1"/>
  <c r="R25" i="48"/>
  <c r="M33" i="48"/>
  <c r="R33" i="48"/>
  <c r="M53" i="47"/>
  <c r="M52" i="47"/>
  <c r="M51" i="47"/>
  <c r="M50" i="47"/>
  <c r="M49" i="47"/>
  <c r="M48" i="47"/>
  <c r="M47" i="47"/>
  <c r="M46" i="47"/>
  <c r="M45" i="47"/>
  <c r="M44" i="47"/>
  <c r="M43" i="47"/>
  <c r="M42" i="47"/>
  <c r="E42" i="47"/>
  <c r="O42" i="47" s="1"/>
  <c r="M41" i="47"/>
  <c r="M40" i="47"/>
  <c r="M39" i="47"/>
  <c r="M38" i="47"/>
  <c r="M37" i="47"/>
  <c r="M36" i="47"/>
  <c r="M35" i="47"/>
  <c r="M34" i="47"/>
  <c r="M33" i="47"/>
  <c r="M32" i="47"/>
  <c r="M31" i="47"/>
  <c r="M30" i="47"/>
  <c r="M29" i="47"/>
  <c r="M28" i="47"/>
  <c r="M27" i="47"/>
  <c r="M26" i="47"/>
  <c r="M25" i="47"/>
  <c r="M24" i="47"/>
  <c r="M23" i="47"/>
  <c r="C4" i="67"/>
  <c r="M22" i="47"/>
  <c r="M21" i="47"/>
  <c r="M20" i="47"/>
  <c r="M19" i="47"/>
  <c r="M18" i="47"/>
  <c r="M17" i="47"/>
  <c r="M16" i="47"/>
  <c r="M15" i="47"/>
  <c r="M14" i="47"/>
  <c r="M13" i="47"/>
  <c r="M12" i="47"/>
  <c r="M10" i="47"/>
  <c r="M9" i="47"/>
  <c r="C3" i="67" l="1"/>
  <c r="E48" i="47"/>
  <c r="O48" i="47" s="1"/>
  <c r="R34" i="48"/>
  <c r="I34" i="48"/>
  <c r="D50" i="64" l="1"/>
  <c r="J50" i="64" s="1"/>
  <c r="D3" i="67"/>
  <c r="C2" i="67"/>
  <c r="H34" i="51"/>
  <c r="J34" i="51" s="1"/>
  <c r="DD8" i="6"/>
  <c r="DC8" i="6"/>
  <c r="DG8" i="6"/>
  <c r="L2" i="67" l="1"/>
  <c r="I50" i="64"/>
  <c r="C10" i="67"/>
  <c r="D2" i="67"/>
  <c r="L19" i="56"/>
  <c r="D21" i="64" l="1"/>
  <c r="M18" i="56"/>
  <c r="F29" i="64"/>
  <c r="F67" i="64"/>
  <c r="F49" i="64"/>
  <c r="F44" i="64"/>
  <c r="F41" i="64"/>
  <c r="F75" i="64"/>
  <c r="F72" i="64"/>
  <c r="F47" i="64"/>
  <c r="K2" i="67"/>
  <c r="B10" i="67"/>
  <c r="D4" i="67"/>
  <c r="L18" i="56"/>
  <c r="C18" i="53"/>
  <c r="M19" i="56"/>
  <c r="D17" i="53"/>
  <c r="N18" i="56"/>
  <c r="D18" i="53"/>
  <c r="N19" i="56"/>
  <c r="B18" i="53"/>
  <c r="F60" i="64"/>
  <c r="B17" i="53"/>
  <c r="C17" i="53"/>
  <c r="D5" i="46"/>
  <c r="D8" i="46"/>
  <c r="B9" i="46"/>
  <c r="B6" i="46"/>
  <c r="E15" i="46"/>
  <c r="E14" i="46"/>
  <c r="D15" i="46"/>
  <c r="D14" i="46"/>
  <c r="C15" i="46"/>
  <c r="C14" i="46"/>
  <c r="F55" i="64" l="1"/>
  <c r="C9" i="46"/>
  <c r="D9" i="46" s="1"/>
  <c r="E9" i="46" s="1"/>
  <c r="C6" i="46"/>
  <c r="F38" i="64"/>
  <c r="F43" i="51"/>
  <c r="F46" i="64"/>
  <c r="F49" i="51"/>
  <c r="F66" i="51"/>
  <c r="F65" i="51"/>
  <c r="F29" i="51"/>
  <c r="D14" i="64"/>
  <c r="D13" i="64"/>
  <c r="D6" i="46" l="1"/>
  <c r="E6" i="46" s="1"/>
  <c r="M29" i="64"/>
  <c r="H29" i="64"/>
  <c r="K29" i="64" s="1"/>
  <c r="D46" i="64"/>
  <c r="J46" i="64" s="1"/>
  <c r="F38" i="51"/>
  <c r="D13" i="51"/>
  <c r="D48" i="51"/>
  <c r="D14" i="51"/>
  <c r="H29" i="51"/>
  <c r="J29" i="51" s="1"/>
  <c r="I46" i="64" l="1"/>
  <c r="P29" i="64"/>
  <c r="K48" i="51"/>
  <c r="I48" i="51"/>
  <c r="G25" i="64" l="1"/>
  <c r="C10" i="40"/>
  <c r="C29" i="40"/>
  <c r="G26" i="64"/>
  <c r="G46" i="64"/>
  <c r="C5" i="40"/>
  <c r="G49" i="64"/>
  <c r="G33" i="64"/>
  <c r="C25" i="40"/>
  <c r="G23" i="64"/>
  <c r="G24" i="64"/>
  <c r="C13" i="40"/>
  <c r="C7" i="40"/>
  <c r="G41" i="64" l="1"/>
  <c r="C24" i="40"/>
  <c r="G72" i="64"/>
  <c r="C26" i="40"/>
  <c r="G76" i="64"/>
  <c r="C14" i="40"/>
  <c r="G55" i="64"/>
  <c r="C28" i="40"/>
  <c r="G73" i="64"/>
  <c r="C11" i="40"/>
  <c r="G42" i="64"/>
  <c r="C9" i="40"/>
  <c r="G15" i="64"/>
  <c r="G32" i="64"/>
  <c r="G47" i="64"/>
  <c r="G74" i="64"/>
  <c r="G75" i="64"/>
  <c r="G43" i="64"/>
  <c r="G44" i="64"/>
  <c r="G13" i="64"/>
  <c r="G27" i="64"/>
  <c r="G45" i="64"/>
  <c r="G19" i="64"/>
  <c r="G56" i="64"/>
  <c r="G14" i="64"/>
  <c r="G28" i="64"/>
  <c r="G21" i="64"/>
  <c r="G70" i="64"/>
  <c r="G20" i="64"/>
  <c r="G34" i="64"/>
  <c r="G50" i="64"/>
  <c r="G10" i="64"/>
  <c r="G54" i="64"/>
  <c r="G40" i="64"/>
  <c r="C23" i="40"/>
  <c r="G48" i="64"/>
  <c r="G71" i="64"/>
  <c r="AE64" i="1"/>
  <c r="AE62" i="1"/>
  <c r="AE59" i="1"/>
  <c r="AE56" i="1"/>
  <c r="AE50" i="1"/>
  <c r="AE47" i="1"/>
  <c r="AE44" i="1"/>
  <c r="AE42" i="1"/>
  <c r="AE40" i="1"/>
  <c r="AE38" i="1"/>
  <c r="AE36" i="1"/>
  <c r="AE34" i="1"/>
  <c r="AE32" i="1"/>
  <c r="AE30" i="1"/>
  <c r="AE28" i="1"/>
  <c r="AE26" i="1"/>
  <c r="AE24" i="1"/>
  <c r="AE22" i="1"/>
  <c r="AE20" i="1"/>
  <c r="AE18" i="1"/>
  <c r="AE12" i="1"/>
  <c r="AE8" i="1"/>
  <c r="Y8" i="1"/>
  <c r="Y64" i="1"/>
  <c r="Y62" i="1"/>
  <c r="Y59" i="1"/>
  <c r="Y56" i="1"/>
  <c r="Y50" i="1"/>
  <c r="Y47" i="1"/>
  <c r="Y44" i="1"/>
  <c r="Y42" i="1"/>
  <c r="Y40" i="1"/>
  <c r="Y38" i="1"/>
  <c r="Y36" i="1"/>
  <c r="Y34" i="1"/>
  <c r="Y32" i="1"/>
  <c r="Y30" i="1"/>
  <c r="Y28" i="1"/>
  <c r="Y26" i="1"/>
  <c r="Y24" i="1"/>
  <c r="Y22" i="1"/>
  <c r="Y20" i="1"/>
  <c r="Y18" i="1"/>
  <c r="Y12" i="1"/>
  <c r="G53" i="64" l="1"/>
  <c r="C12" i="40"/>
  <c r="G39" i="64"/>
  <c r="C8" i="40"/>
  <c r="G37" i="64"/>
  <c r="G38" i="64"/>
  <c r="B3" i="67"/>
  <c r="B4" i="67"/>
  <c r="C60" i="51"/>
  <c r="C61" i="51"/>
  <c r="B2" i="67" l="1"/>
  <c r="C59" i="51"/>
  <c r="AE23" i="1"/>
  <c r="AE21" i="1"/>
  <c r="AF65" i="1"/>
  <c r="AF63" i="1"/>
  <c r="AF60" i="1"/>
  <c r="AF57" i="1"/>
  <c r="AF51" i="1"/>
  <c r="AF48" i="1"/>
  <c r="AF45" i="1"/>
  <c r="AF43" i="1"/>
  <c r="AF41" i="1"/>
  <c r="AF39" i="1"/>
  <c r="AF37" i="1"/>
  <c r="AF35" i="1"/>
  <c r="AF33" i="1"/>
  <c r="AF31" i="1"/>
  <c r="AF29" i="1"/>
  <c r="AF27" i="1"/>
  <c r="AF25" i="1"/>
  <c r="AF23" i="1"/>
  <c r="AF21" i="1"/>
  <c r="AF19" i="1"/>
  <c r="AF10" i="1"/>
  <c r="AE10" i="1"/>
  <c r="AE13" i="1"/>
  <c r="AE19" i="1"/>
  <c r="AE25" i="1"/>
  <c r="AE27" i="1"/>
  <c r="AE29" i="1"/>
  <c r="AE31" i="1"/>
  <c r="AE33" i="1"/>
  <c r="AE35" i="1"/>
  <c r="AE37" i="1"/>
  <c r="AE39" i="1"/>
  <c r="AE41" i="1"/>
  <c r="AE43" i="1"/>
  <c r="AE45" i="1"/>
  <c r="AE48" i="1"/>
  <c r="AE51" i="1"/>
  <c r="AE57" i="1"/>
  <c r="AE60" i="1"/>
  <c r="AE63" i="1"/>
  <c r="AE65" i="1"/>
  <c r="AH69" i="1"/>
  <c r="AG69" i="1"/>
  <c r="AH65" i="1"/>
  <c r="AG65" i="1"/>
  <c r="AH64" i="1"/>
  <c r="AG64" i="1"/>
  <c r="AH63" i="1"/>
  <c r="AG63" i="1"/>
  <c r="AH62" i="1"/>
  <c r="AG62" i="1"/>
  <c r="AH61" i="1"/>
  <c r="AG61" i="1"/>
  <c r="AH60" i="1"/>
  <c r="AG60" i="1"/>
  <c r="AH59" i="1"/>
  <c r="AG59" i="1"/>
  <c r="AH58" i="1"/>
  <c r="AG58" i="1"/>
  <c r="AH57" i="1"/>
  <c r="AG57" i="1"/>
  <c r="AH56" i="1"/>
  <c r="AG56" i="1"/>
  <c r="AH55" i="1"/>
  <c r="AG55" i="1"/>
  <c r="AH54" i="1"/>
  <c r="AG54" i="1"/>
  <c r="AH53" i="1"/>
  <c r="AG53" i="1"/>
  <c r="AH52" i="1"/>
  <c r="AG52" i="1"/>
  <c r="AH51" i="1"/>
  <c r="AG51" i="1"/>
  <c r="AH50" i="1"/>
  <c r="AG50" i="1"/>
  <c r="AH49" i="1"/>
  <c r="AG49" i="1"/>
  <c r="AH48" i="1"/>
  <c r="AG48" i="1"/>
  <c r="AH47" i="1"/>
  <c r="AG47" i="1"/>
  <c r="AH46" i="1"/>
  <c r="AG46" i="1"/>
  <c r="AG45" i="1"/>
  <c r="AG44" i="1"/>
  <c r="AH43" i="1"/>
  <c r="AG43" i="1"/>
  <c r="AH42" i="1"/>
  <c r="AG42" i="1"/>
  <c r="AH41" i="1"/>
  <c r="AG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G23" i="1"/>
  <c r="AG22" i="1"/>
  <c r="AH21" i="1"/>
  <c r="AG21" i="1"/>
  <c r="AH20" i="1"/>
  <c r="AG20" i="1"/>
  <c r="AH19" i="1"/>
  <c r="AG19" i="1"/>
  <c r="AH18" i="1"/>
  <c r="AG18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O7" i="1"/>
  <c r="P7" i="1"/>
  <c r="M8" i="1"/>
  <c r="O8" i="1"/>
  <c r="P8" i="1"/>
  <c r="O9" i="1"/>
  <c r="P9" i="1"/>
  <c r="M10" i="1"/>
  <c r="O10" i="1"/>
  <c r="P10" i="1"/>
  <c r="O11" i="1"/>
  <c r="P11" i="1"/>
  <c r="M12" i="1"/>
  <c r="O12" i="1"/>
  <c r="P12" i="1"/>
  <c r="M13" i="1"/>
  <c r="O13" i="1"/>
  <c r="P13" i="1"/>
  <c r="P14" i="1"/>
  <c r="P15" i="1"/>
  <c r="P16" i="1"/>
  <c r="P17" i="1"/>
  <c r="M18" i="1"/>
  <c r="O18" i="1"/>
  <c r="P18" i="1"/>
  <c r="M19" i="1"/>
  <c r="O19" i="1"/>
  <c r="P19" i="1"/>
  <c r="M20" i="1"/>
  <c r="O20" i="1"/>
  <c r="P20" i="1"/>
  <c r="M21" i="1"/>
  <c r="O21" i="1"/>
  <c r="P21" i="1"/>
  <c r="M24" i="1"/>
  <c r="O24" i="1"/>
  <c r="M25" i="1"/>
  <c r="O25" i="1"/>
  <c r="M26" i="1"/>
  <c r="O26" i="1"/>
  <c r="P26" i="1"/>
  <c r="M27" i="1"/>
  <c r="O27" i="1"/>
  <c r="P27" i="1"/>
  <c r="M28" i="1"/>
  <c r="O28" i="1"/>
  <c r="P28" i="1"/>
  <c r="M29" i="1"/>
  <c r="O29" i="1"/>
  <c r="P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O46" i="1"/>
  <c r="P46" i="1"/>
  <c r="M47" i="1"/>
  <c r="O47" i="1"/>
  <c r="P47" i="1"/>
  <c r="M48" i="1"/>
  <c r="N48" i="1" s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M62" i="1"/>
  <c r="O62" i="1"/>
  <c r="P62" i="1"/>
  <c r="M63" i="1"/>
  <c r="O63" i="1"/>
  <c r="P63" i="1"/>
  <c r="O64" i="1"/>
  <c r="P64" i="1"/>
  <c r="O65" i="1"/>
  <c r="P65" i="1"/>
  <c r="O69" i="1"/>
  <c r="P69" i="1"/>
  <c r="D59" i="51" l="1"/>
  <c r="B5" i="45" l="1"/>
  <c r="D5" i="45"/>
  <c r="C5" i="45"/>
  <c r="E5" i="45" s="1"/>
  <c r="R8" i="42"/>
  <c r="P8" i="42"/>
  <c r="N62" i="42"/>
  <c r="O62" i="42" s="1"/>
  <c r="M62" i="42"/>
  <c r="J62" i="42"/>
  <c r="H73" i="42"/>
  <c r="G62" i="42"/>
  <c r="D73" i="42"/>
  <c r="N45" i="42"/>
  <c r="O45" i="42" s="1"/>
  <c r="M45" i="42"/>
  <c r="J45" i="42"/>
  <c r="H50" i="42"/>
  <c r="G45" i="42"/>
  <c r="D50" i="42"/>
  <c r="H28" i="42"/>
  <c r="D28" i="42"/>
  <c r="F5" i="45" l="1"/>
  <c r="N8" i="42"/>
  <c r="O8" i="42"/>
  <c r="D32" i="42"/>
  <c r="H32" i="42"/>
  <c r="D33" i="42"/>
  <c r="H33" i="42"/>
  <c r="D34" i="42"/>
  <c r="H34" i="42"/>
  <c r="D23" i="42"/>
  <c r="H23" i="42"/>
  <c r="D24" i="42"/>
  <c r="H24" i="42"/>
  <c r="D25" i="42"/>
  <c r="H25" i="42"/>
  <c r="D26" i="42"/>
  <c r="H26" i="42"/>
  <c r="D27" i="42"/>
  <c r="E27" i="42"/>
  <c r="H27" i="42"/>
  <c r="D31" i="42"/>
  <c r="H31" i="42"/>
  <c r="D36" i="42"/>
  <c r="H36" i="42"/>
  <c r="I37" i="42"/>
  <c r="K37" i="42"/>
  <c r="L37" i="42"/>
  <c r="D38" i="42"/>
  <c r="H38" i="42"/>
  <c r="I39" i="42"/>
  <c r="K39" i="42"/>
  <c r="L39" i="42"/>
  <c r="D41" i="42"/>
  <c r="H41" i="42"/>
  <c r="D42" i="42"/>
  <c r="H42" i="42"/>
  <c r="C43" i="42"/>
  <c r="D43" i="42"/>
  <c r="H43" i="42"/>
  <c r="C44" i="42"/>
  <c r="D44" i="42"/>
  <c r="E44" i="42"/>
  <c r="H44" i="42"/>
  <c r="D48" i="42"/>
  <c r="H48" i="42"/>
  <c r="C49" i="42"/>
  <c r="D49" i="42"/>
  <c r="H49" i="42"/>
  <c r="D52" i="42"/>
  <c r="H52" i="42"/>
  <c r="D53" i="42"/>
  <c r="H53" i="42"/>
  <c r="D55" i="42"/>
  <c r="H55" i="42"/>
  <c r="I56" i="42"/>
  <c r="P56" i="42" s="1"/>
  <c r="K56" i="42"/>
  <c r="L56" i="42"/>
  <c r="D57" i="42"/>
  <c r="H57" i="42"/>
  <c r="I58" i="42"/>
  <c r="P58" i="42" s="1"/>
  <c r="L58" i="42"/>
  <c r="H59" i="42"/>
  <c r="L59" i="42"/>
  <c r="D60" i="42"/>
  <c r="E60" i="42"/>
  <c r="F60" i="42"/>
  <c r="H60" i="42"/>
  <c r="L60" i="42"/>
  <c r="D61" i="42"/>
  <c r="E61" i="42"/>
  <c r="F61" i="42"/>
  <c r="H61" i="42"/>
  <c r="C65" i="42"/>
  <c r="D65" i="42"/>
  <c r="E65" i="42"/>
  <c r="F65" i="42"/>
  <c r="H65" i="42"/>
  <c r="I65" i="42"/>
  <c r="P65" i="42" s="1"/>
  <c r="D66" i="42"/>
  <c r="H66" i="42"/>
  <c r="H67" i="42"/>
  <c r="D68" i="42"/>
  <c r="H68" i="42"/>
  <c r="D69" i="42"/>
  <c r="H69" i="42"/>
  <c r="H70" i="42"/>
  <c r="D71" i="42"/>
  <c r="H71" i="42"/>
  <c r="D72" i="42"/>
  <c r="H72" i="42"/>
  <c r="M8" i="42"/>
  <c r="J8" i="42"/>
  <c r="H8" i="42"/>
  <c r="H10" i="42"/>
  <c r="H11" i="42"/>
  <c r="H12" i="42"/>
  <c r="H13" i="42"/>
  <c r="H14" i="42"/>
  <c r="H15" i="42"/>
  <c r="H17" i="42"/>
  <c r="H18" i="42"/>
  <c r="H19" i="42"/>
  <c r="H20" i="42"/>
  <c r="H21" i="42"/>
  <c r="H22" i="42"/>
  <c r="H7" i="42"/>
  <c r="I8" i="42"/>
  <c r="G8" i="42"/>
  <c r="E8" i="42"/>
  <c r="F8" i="42"/>
  <c r="D8" i="42"/>
  <c r="D10" i="42"/>
  <c r="D11" i="42"/>
  <c r="D12" i="42"/>
  <c r="D13" i="42"/>
  <c r="D14" i="42"/>
  <c r="D15" i="42"/>
  <c r="D17" i="42"/>
  <c r="D18" i="42"/>
  <c r="D19" i="42"/>
  <c r="D20" i="42"/>
  <c r="D21" i="42"/>
  <c r="D22" i="42"/>
  <c r="C8" i="42"/>
  <c r="D7" i="42"/>
  <c r="M56" i="42" l="1"/>
  <c r="G60" i="42"/>
  <c r="N60" i="42"/>
  <c r="J65" i="42"/>
  <c r="N65" i="42"/>
  <c r="O65" i="42" s="1"/>
  <c r="G65" i="42"/>
  <c r="N61" i="42"/>
  <c r="G61" i="42"/>
  <c r="M37" i="42"/>
  <c r="M39" i="42"/>
  <c r="Q65" i="42"/>
  <c r="K8" i="42" l="1"/>
  <c r="L8" i="42"/>
  <c r="F17" i="40" l="1"/>
  <c r="D17" i="40"/>
  <c r="M45" i="51" l="1"/>
  <c r="M65" i="39"/>
  <c r="N65" i="39"/>
  <c r="O65" i="39"/>
  <c r="P65" i="39"/>
  <c r="M11" i="39"/>
  <c r="N11" i="39"/>
  <c r="N58" i="39" l="1"/>
  <c r="N59" i="39"/>
  <c r="N60" i="39"/>
  <c r="N61" i="39"/>
  <c r="K65" i="39"/>
  <c r="L11" i="39"/>
  <c r="L34" i="39"/>
  <c r="L35" i="39"/>
  <c r="L38" i="39"/>
  <c r="L40" i="39"/>
  <c r="L45" i="39"/>
  <c r="L49" i="39"/>
  <c r="L50" i="39"/>
  <c r="L56" i="39"/>
  <c r="L58" i="39"/>
  <c r="L65" i="39"/>
  <c r="H11" i="39"/>
  <c r="H30" i="39"/>
  <c r="H34" i="39"/>
  <c r="H35" i="39"/>
  <c r="H44" i="39"/>
  <c r="H45" i="39"/>
  <c r="H49" i="39"/>
  <c r="H50" i="39"/>
  <c r="H65" i="39"/>
  <c r="O59" i="39" l="1"/>
  <c r="O58" i="39"/>
  <c r="P58" i="39"/>
  <c r="O60" i="39"/>
  <c r="O61" i="39"/>
  <c r="K11" i="39" l="1"/>
  <c r="J11" i="39"/>
  <c r="J38" i="39"/>
  <c r="K38" i="39" s="1"/>
  <c r="J40" i="39"/>
  <c r="K40" i="39" s="1"/>
  <c r="J56" i="39"/>
  <c r="K56" i="39" s="1"/>
  <c r="J58" i="39"/>
  <c r="K58" i="39" s="1"/>
  <c r="J65" i="39"/>
  <c r="G65" i="39"/>
  <c r="G11" i="39"/>
  <c r="E11" i="39" l="1"/>
  <c r="F11" i="39"/>
  <c r="E30" i="39"/>
  <c r="G30" i="39" s="1"/>
  <c r="E45" i="39"/>
  <c r="G45" i="39" s="1"/>
  <c r="E65" i="39"/>
  <c r="F65" i="39"/>
  <c r="I36" i="42" l="1"/>
  <c r="J37" i="39"/>
  <c r="K37" i="39" s="1"/>
  <c r="P36" i="42" l="1"/>
  <c r="J36" i="42"/>
  <c r="E43" i="42" l="1"/>
  <c r="E44" i="39"/>
  <c r="G44" i="39" s="1"/>
  <c r="D9" i="42"/>
  <c r="E12" i="64" l="1"/>
  <c r="E12" i="51" l="1"/>
  <c r="F10" i="42"/>
  <c r="F13" i="39"/>
  <c r="H9" i="42"/>
  <c r="G10" i="42" l="1"/>
  <c r="N10" i="42"/>
  <c r="D63" i="42" l="1"/>
  <c r="D64" i="42"/>
  <c r="N56" i="39" l="1"/>
  <c r="N40" i="39"/>
  <c r="N38" i="39"/>
  <c r="O56" i="39" l="1"/>
  <c r="P56" i="39"/>
  <c r="P38" i="39"/>
  <c r="O38" i="39"/>
  <c r="O40" i="39"/>
  <c r="P40" i="39"/>
  <c r="F11" i="42" l="1"/>
  <c r="F14" i="39"/>
  <c r="N11" i="42" l="1"/>
  <c r="G11" i="42"/>
  <c r="D70" i="42"/>
  <c r="D67" i="42"/>
  <c r="L61" i="39"/>
  <c r="H61" i="39"/>
  <c r="C61" i="42"/>
  <c r="L60" i="39"/>
  <c r="H60" i="39"/>
  <c r="C60" i="42"/>
  <c r="F58" i="42"/>
  <c r="D56" i="42"/>
  <c r="D47" i="42"/>
  <c r="D46" i="42"/>
  <c r="P39" i="42"/>
  <c r="P37" i="42"/>
  <c r="D37" i="42"/>
  <c r="H14" i="39"/>
  <c r="F36" i="42" l="1"/>
  <c r="F37" i="39"/>
  <c r="F41" i="42"/>
  <c r="F42" i="39"/>
  <c r="F68" i="39"/>
  <c r="F50" i="42"/>
  <c r="F68" i="42"/>
  <c r="F55" i="42"/>
  <c r="F55" i="39"/>
  <c r="F73" i="42"/>
  <c r="F71" i="42"/>
  <c r="F71" i="39"/>
  <c r="C73" i="64"/>
  <c r="C39" i="64"/>
  <c r="C70" i="64"/>
  <c r="C76" i="64"/>
  <c r="C20" i="64"/>
  <c r="C15" i="64"/>
  <c r="C27" i="64"/>
  <c r="C23" i="64"/>
  <c r="C56" i="64"/>
  <c r="C19" i="64"/>
  <c r="C53" i="64"/>
  <c r="C28" i="64"/>
  <c r="C45" i="64"/>
  <c r="C26" i="64"/>
  <c r="C42" i="64"/>
  <c r="C25" i="64"/>
  <c r="C74" i="64"/>
  <c r="C24" i="64"/>
  <c r="E58" i="42"/>
  <c r="F37" i="42"/>
  <c r="F38" i="39"/>
  <c r="C73" i="42"/>
  <c r="C71" i="42"/>
  <c r="C39" i="42"/>
  <c r="D39" i="42"/>
  <c r="H56" i="42"/>
  <c r="J56" i="42" s="1"/>
  <c r="C31" i="42"/>
  <c r="C50" i="42"/>
  <c r="C68" i="42"/>
  <c r="F39" i="42"/>
  <c r="Q39" i="42" s="1"/>
  <c r="F40" i="39"/>
  <c r="C55" i="42"/>
  <c r="D59" i="42"/>
  <c r="C41" i="42"/>
  <c r="C36" i="42"/>
  <c r="C58" i="42"/>
  <c r="D58" i="42"/>
  <c r="G58" i="42" s="1"/>
  <c r="F56" i="42"/>
  <c r="F56" i="39"/>
  <c r="C52" i="42"/>
  <c r="Q58" i="42"/>
  <c r="H56" i="39"/>
  <c r="C37" i="42"/>
  <c r="C56" i="42"/>
  <c r="C59" i="42"/>
  <c r="H59" i="39"/>
  <c r="H13" i="39"/>
  <c r="H38" i="39"/>
  <c r="H42" i="39"/>
  <c r="H40" i="39"/>
  <c r="H58" i="39"/>
  <c r="C13" i="64" l="1"/>
  <c r="J13" i="64" s="1"/>
  <c r="C49" i="64"/>
  <c r="J49" i="64" s="1"/>
  <c r="C21" i="64"/>
  <c r="J21" i="64" s="1"/>
  <c r="C14" i="64"/>
  <c r="J14" i="64" s="1"/>
  <c r="C32" i="64"/>
  <c r="J32" i="64" s="1"/>
  <c r="K4" i="67"/>
  <c r="C44" i="51"/>
  <c r="C27" i="51"/>
  <c r="G73" i="51"/>
  <c r="C26" i="51"/>
  <c r="C15" i="51"/>
  <c r="G13" i="51"/>
  <c r="C10" i="51"/>
  <c r="C10" i="64"/>
  <c r="C77" i="51"/>
  <c r="G14" i="51"/>
  <c r="G25" i="51"/>
  <c r="G52" i="51"/>
  <c r="G31" i="51"/>
  <c r="G20" i="51"/>
  <c r="G23" i="51"/>
  <c r="G76" i="51"/>
  <c r="G24" i="51"/>
  <c r="C14" i="51"/>
  <c r="I14" i="51" s="1"/>
  <c r="C71" i="51"/>
  <c r="G46" i="51"/>
  <c r="C25" i="51"/>
  <c r="G19" i="51"/>
  <c r="C55" i="51"/>
  <c r="C41" i="51"/>
  <c r="C74" i="51"/>
  <c r="G27" i="51"/>
  <c r="G26" i="51"/>
  <c r="C24" i="51"/>
  <c r="C19" i="51"/>
  <c r="G28" i="51"/>
  <c r="G57" i="51"/>
  <c r="G43" i="51"/>
  <c r="C58" i="51"/>
  <c r="G21" i="51"/>
  <c r="G40" i="51"/>
  <c r="G38" i="51"/>
  <c r="F5" i="56"/>
  <c r="C31" i="51"/>
  <c r="D33" i="51"/>
  <c r="E26" i="42"/>
  <c r="E29" i="39"/>
  <c r="G29" i="39" s="1"/>
  <c r="C33" i="51"/>
  <c r="C6" i="56"/>
  <c r="E6" i="56" s="1"/>
  <c r="C32" i="51"/>
  <c r="C5" i="56"/>
  <c r="E5" i="56" s="1"/>
  <c r="I5" i="56" s="1"/>
  <c r="C51" i="64"/>
  <c r="C20" i="51"/>
  <c r="P61" i="39"/>
  <c r="C23" i="51"/>
  <c r="G68" i="42"/>
  <c r="N68" i="42"/>
  <c r="C47" i="51"/>
  <c r="K12" i="42"/>
  <c r="G15" i="51"/>
  <c r="N50" i="42"/>
  <c r="G50" i="42"/>
  <c r="G41" i="51"/>
  <c r="K25" i="42"/>
  <c r="G32" i="51"/>
  <c r="K27" i="42"/>
  <c r="G45" i="51"/>
  <c r="C13" i="51"/>
  <c r="K43" i="42"/>
  <c r="G48" i="51"/>
  <c r="D73" i="51"/>
  <c r="E68" i="42"/>
  <c r="E68" i="39"/>
  <c r="G68" i="39" s="1"/>
  <c r="E50" i="42"/>
  <c r="D57" i="51"/>
  <c r="E55" i="42"/>
  <c r="E55" i="39"/>
  <c r="G55" i="39" s="1"/>
  <c r="C28" i="51"/>
  <c r="G51" i="51"/>
  <c r="F47" i="39"/>
  <c r="F46" i="42"/>
  <c r="G10" i="51"/>
  <c r="G74" i="51"/>
  <c r="G41" i="42"/>
  <c r="N41" i="42"/>
  <c r="G44" i="51"/>
  <c r="C51" i="51"/>
  <c r="G71" i="42"/>
  <c r="N71" i="42"/>
  <c r="D46" i="51"/>
  <c r="E42" i="39"/>
  <c r="G42" i="39" s="1"/>
  <c r="E41" i="42"/>
  <c r="C21" i="51"/>
  <c r="N73" i="42"/>
  <c r="G73" i="42"/>
  <c r="G71" i="51"/>
  <c r="C54" i="64"/>
  <c r="D76" i="51"/>
  <c r="E73" i="42"/>
  <c r="E71" i="42"/>
  <c r="E71" i="39"/>
  <c r="G71" i="39" s="1"/>
  <c r="G36" i="42"/>
  <c r="N36" i="42"/>
  <c r="O36" i="42" s="1"/>
  <c r="C75" i="51"/>
  <c r="K26" i="42"/>
  <c r="G33" i="51"/>
  <c r="G77" i="51"/>
  <c r="K69" i="42"/>
  <c r="G75" i="51"/>
  <c r="C71" i="64"/>
  <c r="G47" i="51"/>
  <c r="C17" i="40"/>
  <c r="G55" i="42"/>
  <c r="N55" i="42"/>
  <c r="D43" i="51"/>
  <c r="E36" i="42"/>
  <c r="E37" i="39"/>
  <c r="G37" i="39" s="1"/>
  <c r="G60" i="51"/>
  <c r="G58" i="51"/>
  <c r="C68" i="51"/>
  <c r="G61" i="51"/>
  <c r="G59" i="51"/>
  <c r="K44" i="42"/>
  <c r="G49" i="51"/>
  <c r="K36" i="42"/>
  <c r="C32" i="40"/>
  <c r="D25" i="40" s="1"/>
  <c r="D32" i="40" s="1"/>
  <c r="K41" i="42"/>
  <c r="K70" i="42"/>
  <c r="P60" i="39"/>
  <c r="K42" i="42"/>
  <c r="K38" i="42"/>
  <c r="K7" i="42"/>
  <c r="K57" i="42"/>
  <c r="C68" i="64"/>
  <c r="C15" i="42"/>
  <c r="C17" i="42"/>
  <c r="C48" i="42"/>
  <c r="C26" i="42"/>
  <c r="K23" i="42"/>
  <c r="K22" i="42"/>
  <c r="C33" i="42"/>
  <c r="C11" i="42"/>
  <c r="C72" i="42"/>
  <c r="C18" i="42"/>
  <c r="C23" i="42"/>
  <c r="K13" i="42"/>
  <c r="K15" i="42"/>
  <c r="C34" i="42"/>
  <c r="K10" i="42"/>
  <c r="K20" i="42"/>
  <c r="C24" i="42"/>
  <c r="C27" i="42"/>
  <c r="K11" i="42"/>
  <c r="K18" i="42"/>
  <c r="C19" i="42"/>
  <c r="C13" i="42"/>
  <c r="C28" i="42"/>
  <c r="K24" i="42"/>
  <c r="C40" i="64"/>
  <c r="C25" i="42"/>
  <c r="C37" i="64"/>
  <c r="K72" i="42"/>
  <c r="C20" i="42"/>
  <c r="K14" i="42"/>
  <c r="C14" i="42"/>
  <c r="C43" i="64"/>
  <c r="C22" i="42"/>
  <c r="C7" i="42"/>
  <c r="C21" i="42"/>
  <c r="K17" i="42"/>
  <c r="K19" i="42"/>
  <c r="C12" i="42"/>
  <c r="K21" i="42"/>
  <c r="K33" i="42"/>
  <c r="C57" i="42"/>
  <c r="C32" i="42"/>
  <c r="K49" i="42"/>
  <c r="K34" i="42"/>
  <c r="K48" i="42"/>
  <c r="C53" i="42"/>
  <c r="C38" i="42"/>
  <c r="C42" i="42"/>
  <c r="C66" i="42"/>
  <c r="C12" i="64"/>
  <c r="N58" i="42"/>
  <c r="O58" i="42" s="1"/>
  <c r="C69" i="42"/>
  <c r="C10" i="42"/>
  <c r="E37" i="42"/>
  <c r="E38" i="39"/>
  <c r="G38" i="39" s="1"/>
  <c r="E10" i="42"/>
  <c r="E13" i="39"/>
  <c r="G13" i="39" s="1"/>
  <c r="F26" i="42"/>
  <c r="F29" i="39"/>
  <c r="F27" i="42"/>
  <c r="F30" i="39"/>
  <c r="F59" i="42"/>
  <c r="C47" i="42"/>
  <c r="C46" i="42"/>
  <c r="H37" i="42"/>
  <c r="J37" i="42" s="1"/>
  <c r="C63" i="42"/>
  <c r="F43" i="42"/>
  <c r="F44" i="39"/>
  <c r="G37" i="42"/>
  <c r="N37" i="42"/>
  <c r="O37" i="42" s="1"/>
  <c r="E56" i="42"/>
  <c r="E56" i="39"/>
  <c r="G56" i="39" s="1"/>
  <c r="C70" i="42"/>
  <c r="F44" i="42"/>
  <c r="F45" i="39"/>
  <c r="E11" i="42"/>
  <c r="E14" i="39"/>
  <c r="G14" i="39" s="1"/>
  <c r="H58" i="42"/>
  <c r="J58" i="42" s="1"/>
  <c r="E39" i="42"/>
  <c r="E40" i="39"/>
  <c r="G40" i="39" s="1"/>
  <c r="G56" i="42"/>
  <c r="N56" i="42"/>
  <c r="O56" i="42" s="1"/>
  <c r="Q56" i="42"/>
  <c r="H39" i="42"/>
  <c r="J39" i="42" s="1"/>
  <c r="Q37" i="42"/>
  <c r="N39" i="42"/>
  <c r="O39" i="42" s="1"/>
  <c r="R39" i="42" s="1"/>
  <c r="G39" i="42"/>
  <c r="G77" i="64"/>
  <c r="H37" i="39"/>
  <c r="H68" i="39"/>
  <c r="H71" i="39"/>
  <c r="E59" i="42"/>
  <c r="P59" i="39"/>
  <c r="G12" i="64" l="1"/>
  <c r="C6" i="40"/>
  <c r="I32" i="64"/>
  <c r="I14" i="64"/>
  <c r="D42" i="64"/>
  <c r="J42" i="64" s="1"/>
  <c r="I21" i="64"/>
  <c r="I49" i="64"/>
  <c r="I13" i="64"/>
  <c r="G37" i="51"/>
  <c r="E2" i="67"/>
  <c r="K3" i="67" s="1"/>
  <c r="K5" i="67"/>
  <c r="C66" i="64"/>
  <c r="C53" i="51"/>
  <c r="C67" i="42"/>
  <c r="C12" i="51"/>
  <c r="K14" i="51"/>
  <c r="G84" i="51"/>
  <c r="C64" i="42"/>
  <c r="C39" i="51"/>
  <c r="C37" i="51"/>
  <c r="I33" i="51"/>
  <c r="K33" i="51"/>
  <c r="M5" i="56"/>
  <c r="I6" i="56"/>
  <c r="M6" i="56" s="1"/>
  <c r="F6" i="56"/>
  <c r="J6" i="56" s="1"/>
  <c r="H29" i="39"/>
  <c r="C8" i="56"/>
  <c r="E8" i="56" s="1"/>
  <c r="C56" i="51"/>
  <c r="C33" i="40"/>
  <c r="D26" i="40" s="1"/>
  <c r="C16" i="40"/>
  <c r="D13" i="40" s="1"/>
  <c r="G12" i="51"/>
  <c r="K65" i="42"/>
  <c r="K43" i="51"/>
  <c r="I43" i="51"/>
  <c r="D51" i="51"/>
  <c r="E46" i="42"/>
  <c r="E47" i="39"/>
  <c r="G47" i="39" s="1"/>
  <c r="K57" i="51"/>
  <c r="I57" i="51"/>
  <c r="G80" i="64"/>
  <c r="G79" i="51"/>
  <c r="K76" i="51"/>
  <c r="I76" i="51"/>
  <c r="C45" i="51"/>
  <c r="K46" i="51"/>
  <c r="I46" i="51"/>
  <c r="C72" i="51"/>
  <c r="K73" i="51"/>
  <c r="I73" i="51"/>
  <c r="G39" i="51"/>
  <c r="C42" i="51"/>
  <c r="G46" i="42"/>
  <c r="N46" i="42"/>
  <c r="K13" i="51"/>
  <c r="I13" i="51"/>
  <c r="K58" i="42"/>
  <c r="M58" i="42" s="1"/>
  <c r="R58" i="42" s="1"/>
  <c r="K60" i="42"/>
  <c r="M60" i="42" s="1"/>
  <c r="C69" i="51"/>
  <c r="K59" i="42"/>
  <c r="M59" i="42" s="1"/>
  <c r="C48" i="64"/>
  <c r="L59" i="39"/>
  <c r="C9" i="42"/>
  <c r="K32" i="42"/>
  <c r="R56" i="42"/>
  <c r="K50" i="42"/>
  <c r="K31" i="42" s="1"/>
  <c r="K68" i="42"/>
  <c r="N44" i="42"/>
  <c r="G44" i="42"/>
  <c r="N26" i="42"/>
  <c r="N43" i="42"/>
  <c r="G43" i="42"/>
  <c r="G59" i="42"/>
  <c r="N59" i="42"/>
  <c r="R37" i="42"/>
  <c r="K55" i="42"/>
  <c r="C31" i="40"/>
  <c r="N27" i="42"/>
  <c r="C21" i="40"/>
  <c r="C18" i="40"/>
  <c r="H47" i="39"/>
  <c r="H55" i="39"/>
  <c r="K46" i="42"/>
  <c r="K67" i="42"/>
  <c r="I42" i="64" l="1"/>
  <c r="C50" i="51"/>
  <c r="G42" i="51"/>
  <c r="C67" i="51"/>
  <c r="D29" i="40"/>
  <c r="D33" i="40" s="1"/>
  <c r="D9" i="40"/>
  <c r="D16" i="40" s="1"/>
  <c r="F8" i="56"/>
  <c r="J8" i="56" s="1"/>
  <c r="I8" i="56"/>
  <c r="M8" i="56" s="1"/>
  <c r="M4" i="56" s="1"/>
  <c r="N6" i="56"/>
  <c r="E4" i="56"/>
  <c r="I51" i="51"/>
  <c r="K51" i="51"/>
  <c r="K64" i="42"/>
  <c r="G72" i="51"/>
  <c r="D40" i="51"/>
  <c r="E31" i="42"/>
  <c r="E32" i="39"/>
  <c r="G32" i="39" s="1"/>
  <c r="C4" i="53"/>
  <c r="G82" i="51"/>
  <c r="G56" i="51"/>
  <c r="K47" i="42"/>
  <c r="H64" i="42"/>
  <c r="D28" i="40"/>
  <c r="D24" i="40"/>
  <c r="H47" i="42"/>
  <c r="K73" i="42"/>
  <c r="K71" i="42"/>
  <c r="D7" i="40"/>
  <c r="D14" i="40"/>
  <c r="D11" i="40"/>
  <c r="H82" i="64" l="1"/>
  <c r="I4" i="56"/>
  <c r="F4" i="56"/>
  <c r="Q8" i="56"/>
  <c r="N8" i="56"/>
  <c r="D32" i="51"/>
  <c r="J5" i="56"/>
  <c r="Q5" i="56"/>
  <c r="K28" i="42"/>
  <c r="K9" i="42" s="1"/>
  <c r="K66" i="42"/>
  <c r="K40" i="51"/>
  <c r="I40" i="51"/>
  <c r="G50" i="51"/>
  <c r="F32" i="39"/>
  <c r="F31" i="42"/>
  <c r="H32" i="39"/>
  <c r="D31" i="40"/>
  <c r="H46" i="42"/>
  <c r="D18" i="40"/>
  <c r="H84" i="51"/>
  <c r="I55" i="18"/>
  <c r="H55" i="18"/>
  <c r="I54" i="18"/>
  <c r="H54" i="18"/>
  <c r="I53" i="18"/>
  <c r="H53" i="18"/>
  <c r="I49" i="18"/>
  <c r="H49" i="18"/>
  <c r="I47" i="18"/>
  <c r="H47" i="18"/>
  <c r="I46" i="18"/>
  <c r="H46" i="18"/>
  <c r="I44" i="18"/>
  <c r="H44" i="18"/>
  <c r="I43" i="18"/>
  <c r="H43" i="18"/>
  <c r="I42" i="18"/>
  <c r="H42" i="18"/>
  <c r="I40" i="18"/>
  <c r="H40" i="18"/>
  <c r="I39" i="18"/>
  <c r="H39" i="18"/>
  <c r="I38" i="18"/>
  <c r="H38" i="18"/>
  <c r="I36" i="18"/>
  <c r="H36" i="18"/>
  <c r="I35" i="18"/>
  <c r="H35" i="18"/>
  <c r="I34" i="18"/>
  <c r="H34" i="18"/>
  <c r="I32" i="18"/>
  <c r="H32" i="18"/>
  <c r="I31" i="18"/>
  <c r="H31" i="18"/>
  <c r="I30" i="18"/>
  <c r="H30" i="18"/>
  <c r="I28" i="18"/>
  <c r="H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7" i="18"/>
  <c r="H17" i="18"/>
  <c r="I16" i="18"/>
  <c r="H16" i="18"/>
  <c r="I15" i="18"/>
  <c r="H15" i="18"/>
  <c r="I14" i="18"/>
  <c r="I12" i="18"/>
  <c r="H12" i="18"/>
  <c r="I11" i="18"/>
  <c r="H11" i="18"/>
  <c r="I5" i="18"/>
  <c r="H5" i="18"/>
  <c r="L82" i="64" l="1"/>
  <c r="K82" i="64"/>
  <c r="N5" i="56"/>
  <c r="J4" i="56"/>
  <c r="I32" i="51"/>
  <c r="K32" i="51"/>
  <c r="N31" i="42"/>
  <c r="G31" i="42"/>
  <c r="J84" i="51"/>
  <c r="L84" i="51"/>
  <c r="E19" i="40"/>
  <c r="N4" i="56" l="1"/>
  <c r="K4" i="56"/>
  <c r="G19" i="40"/>
  <c r="H19" i="40"/>
  <c r="O4" i="56" l="1"/>
  <c r="DH8" i="6" l="1"/>
  <c r="DF8" i="6"/>
  <c r="DE8" i="6"/>
  <c r="DH9" i="6" l="1"/>
  <c r="DF9" i="6"/>
  <c r="DG9" i="6"/>
  <c r="DE9" i="6"/>
  <c r="DD9" i="6"/>
  <c r="DC9" i="6"/>
  <c r="N30" i="64" l="1"/>
  <c r="N29" i="64"/>
  <c r="F17" i="53"/>
  <c r="H17" i="53"/>
  <c r="I17" i="53"/>
  <c r="G17" i="53"/>
  <c r="J17" i="53"/>
  <c r="F14" i="46"/>
  <c r="E17" i="53"/>
  <c r="F76" i="64"/>
  <c r="J14" i="46"/>
  <c r="I14" i="46"/>
  <c r="K14" i="46"/>
  <c r="H14" i="46"/>
  <c r="G14" i="46"/>
  <c r="N63" i="64" l="1"/>
  <c r="N61" i="64"/>
  <c r="F18" i="64"/>
  <c r="D19" i="64"/>
  <c r="J19" i="64" s="1"/>
  <c r="F30" i="51"/>
  <c r="O30" i="64"/>
  <c r="O29" i="64"/>
  <c r="F25" i="64"/>
  <c r="F14" i="64"/>
  <c r="F26" i="64"/>
  <c r="F10" i="64"/>
  <c r="F24" i="64"/>
  <c r="F45" i="64"/>
  <c r="F50" i="64"/>
  <c r="A5" i="68"/>
  <c r="F70" i="64"/>
  <c r="F73" i="64"/>
  <c r="F58" i="51"/>
  <c r="F28" i="64"/>
  <c r="F33" i="64"/>
  <c r="F15" i="64"/>
  <c r="F34" i="64"/>
  <c r="F27" i="64"/>
  <c r="F13" i="42"/>
  <c r="F16" i="39"/>
  <c r="H16" i="39"/>
  <c r="F77" i="51"/>
  <c r="F17" i="64"/>
  <c r="F61" i="51"/>
  <c r="G18" i="53"/>
  <c r="J15" i="46"/>
  <c r="I18" i="53"/>
  <c r="K15" i="46"/>
  <c r="F9" i="46" s="1"/>
  <c r="J18" i="53"/>
  <c r="F57" i="51"/>
  <c r="J55" i="39"/>
  <c r="K55" i="39" s="1"/>
  <c r="I55" i="42"/>
  <c r="F15" i="46"/>
  <c r="E18" i="53"/>
  <c r="H18" i="53"/>
  <c r="F18" i="53"/>
  <c r="I59" i="42"/>
  <c r="J59" i="39"/>
  <c r="K59" i="39" s="1"/>
  <c r="I61" i="42"/>
  <c r="J61" i="39"/>
  <c r="K61" i="39" s="1"/>
  <c r="I15" i="46"/>
  <c r="M12" i="46" s="1"/>
  <c r="I72" i="42"/>
  <c r="J72" i="39"/>
  <c r="K72" i="39" s="1"/>
  <c r="L72" i="39"/>
  <c r="H15" i="46"/>
  <c r="G15" i="46"/>
  <c r="F18" i="42"/>
  <c r="F21" i="39"/>
  <c r="F22" i="42"/>
  <c r="F25" i="39"/>
  <c r="F20" i="42"/>
  <c r="F23" i="39"/>
  <c r="F19" i="42"/>
  <c r="F22" i="39"/>
  <c r="F23" i="42"/>
  <c r="F26" i="39"/>
  <c r="H10" i="39"/>
  <c r="F7" i="42"/>
  <c r="F10" i="39"/>
  <c r="F28" i="42"/>
  <c r="F66" i="42"/>
  <c r="F66" i="39"/>
  <c r="F21" i="42"/>
  <c r="F24" i="39"/>
  <c r="F17" i="42"/>
  <c r="F20" i="39"/>
  <c r="H22" i="39"/>
  <c r="H66" i="39"/>
  <c r="H20" i="39"/>
  <c r="H23" i="39"/>
  <c r="H21" i="39"/>
  <c r="H25" i="39"/>
  <c r="H24" i="39"/>
  <c r="Z65" i="1"/>
  <c r="Z63" i="1"/>
  <c r="Z60" i="1"/>
  <c r="Z57" i="1"/>
  <c r="Z51" i="1"/>
  <c r="Z48" i="1"/>
  <c r="Z45" i="1"/>
  <c r="Z43" i="1"/>
  <c r="Z41" i="1"/>
  <c r="Z39" i="1"/>
  <c r="Z37" i="1"/>
  <c r="Z35" i="1"/>
  <c r="Z33" i="1"/>
  <c r="Z31" i="1"/>
  <c r="Z29" i="1"/>
  <c r="Z27" i="1"/>
  <c r="Z25" i="1"/>
  <c r="Z23" i="1"/>
  <c r="Z21" i="1"/>
  <c r="Z19" i="1"/>
  <c r="Z10" i="1"/>
  <c r="Y45" i="1"/>
  <c r="F13" i="64" l="1"/>
  <c r="F56" i="64"/>
  <c r="O63" i="64"/>
  <c r="O61" i="64"/>
  <c r="F68" i="64"/>
  <c r="F31" i="64"/>
  <c r="O5" i="46"/>
  <c r="R5" i="46" s="1"/>
  <c r="O8" i="46"/>
  <c r="M13" i="46"/>
  <c r="D28" i="64"/>
  <c r="J28" i="64" s="1"/>
  <c r="F42" i="64"/>
  <c r="D23" i="64"/>
  <c r="J23" i="64" s="1"/>
  <c r="D24" i="64"/>
  <c r="J24" i="64" s="1"/>
  <c r="F23" i="64"/>
  <c r="D70" i="64"/>
  <c r="J70" i="64" s="1"/>
  <c r="D25" i="64"/>
  <c r="J25" i="64" s="1"/>
  <c r="D27" i="64"/>
  <c r="J27" i="64" s="1"/>
  <c r="F35" i="64"/>
  <c r="F20" i="64"/>
  <c r="I19" i="64"/>
  <c r="D26" i="64"/>
  <c r="J26" i="64" s="1"/>
  <c r="F52" i="51"/>
  <c r="F44" i="51"/>
  <c r="F32" i="51"/>
  <c r="F69" i="51"/>
  <c r="F47" i="51"/>
  <c r="F59" i="51"/>
  <c r="I60" i="42"/>
  <c r="P60" i="42" s="1"/>
  <c r="Q60" i="42" s="1"/>
  <c r="D23" i="51"/>
  <c r="I23" i="51" s="1"/>
  <c r="D10" i="64"/>
  <c r="J10" i="64" s="1"/>
  <c r="D71" i="51"/>
  <c r="K71" i="51" s="1"/>
  <c r="G13" i="42"/>
  <c r="N13" i="42"/>
  <c r="D19" i="51"/>
  <c r="E13" i="42"/>
  <c r="E16" i="39"/>
  <c r="G16" i="39" s="1"/>
  <c r="H27" i="64"/>
  <c r="F59" i="64"/>
  <c r="F14" i="51"/>
  <c r="F17" i="51"/>
  <c r="F36" i="51"/>
  <c r="D10" i="51"/>
  <c r="K10" i="51" s="1"/>
  <c r="D24" i="51"/>
  <c r="I24" i="51" s="1"/>
  <c r="F15" i="51"/>
  <c r="F18" i="51"/>
  <c r="F28" i="51"/>
  <c r="F74" i="51"/>
  <c r="F26" i="51"/>
  <c r="F24" i="51"/>
  <c r="F25" i="51"/>
  <c r="G7" i="56"/>
  <c r="Q7" i="56" s="1"/>
  <c r="D26" i="51"/>
  <c r="I26" i="51" s="1"/>
  <c r="H25" i="64"/>
  <c r="F16" i="64"/>
  <c r="D25" i="51"/>
  <c r="K25" i="51" s="1"/>
  <c r="D27" i="51"/>
  <c r="K27" i="51" s="1"/>
  <c r="F33" i="51"/>
  <c r="G6" i="56"/>
  <c r="D28" i="51"/>
  <c r="I28" i="51" s="1"/>
  <c r="I19" i="42"/>
  <c r="J19" i="42" s="1"/>
  <c r="D31" i="51"/>
  <c r="F10" i="51"/>
  <c r="F8" i="46"/>
  <c r="H26" i="64"/>
  <c r="J22" i="39"/>
  <c r="K22" i="39" s="1"/>
  <c r="H18" i="64"/>
  <c r="K18" i="64" s="1"/>
  <c r="L22" i="39"/>
  <c r="F60" i="51"/>
  <c r="J60" i="39"/>
  <c r="K60" i="39" s="1"/>
  <c r="L26" i="39"/>
  <c r="J26" i="39"/>
  <c r="K26" i="39" s="1"/>
  <c r="I23" i="42"/>
  <c r="P23" i="42" s="1"/>
  <c r="F71" i="51"/>
  <c r="H23" i="64"/>
  <c r="F23" i="51"/>
  <c r="F73" i="51"/>
  <c r="I68" i="42"/>
  <c r="I50" i="42"/>
  <c r="J68" i="39"/>
  <c r="K68" i="39" s="1"/>
  <c r="F13" i="51"/>
  <c r="J21" i="39"/>
  <c r="K21" i="39" s="1"/>
  <c r="I18" i="42"/>
  <c r="P18" i="42" s="1"/>
  <c r="F76" i="51"/>
  <c r="I73" i="42"/>
  <c r="I71" i="42"/>
  <c r="J71" i="39"/>
  <c r="K71" i="39" s="1"/>
  <c r="L21" i="39"/>
  <c r="F27" i="51"/>
  <c r="L10" i="39"/>
  <c r="F51" i="51"/>
  <c r="J47" i="39"/>
  <c r="K47" i="39" s="1"/>
  <c r="I46" i="42"/>
  <c r="H24" i="64"/>
  <c r="J10" i="39"/>
  <c r="K10" i="39" s="1"/>
  <c r="F20" i="51"/>
  <c r="I66" i="42"/>
  <c r="J66" i="42" s="1"/>
  <c r="I7" i="42"/>
  <c r="J7" i="42" s="1"/>
  <c r="F46" i="51"/>
  <c r="I41" i="42"/>
  <c r="J42" i="39"/>
  <c r="K42" i="39" s="1"/>
  <c r="L42" i="39"/>
  <c r="P55" i="42"/>
  <c r="J55" i="42"/>
  <c r="O55" i="42"/>
  <c r="F38" i="42"/>
  <c r="F39" i="39"/>
  <c r="L30" i="39"/>
  <c r="I27" i="42"/>
  <c r="P27" i="42" s="1"/>
  <c r="Q27" i="42" s="1"/>
  <c r="J30" i="39"/>
  <c r="K30" i="39" s="1"/>
  <c r="L29" i="39"/>
  <c r="I26" i="42"/>
  <c r="P26" i="42" s="1"/>
  <c r="Q26" i="42" s="1"/>
  <c r="J29" i="39"/>
  <c r="K29" i="39" s="1"/>
  <c r="L28" i="39"/>
  <c r="I25" i="42"/>
  <c r="P25" i="42" s="1"/>
  <c r="J28" i="39"/>
  <c r="K28" i="39" s="1"/>
  <c r="L24" i="39"/>
  <c r="J24" i="39"/>
  <c r="K24" i="39" s="1"/>
  <c r="I21" i="42"/>
  <c r="P21" i="42" s="1"/>
  <c r="F5" i="46"/>
  <c r="L66" i="39"/>
  <c r="F6" i="46"/>
  <c r="I64" i="42"/>
  <c r="J64" i="39"/>
  <c r="K64" i="39" s="1"/>
  <c r="J43" i="39"/>
  <c r="K43" i="39" s="1"/>
  <c r="I42" i="42"/>
  <c r="L43" i="39"/>
  <c r="I38" i="42"/>
  <c r="J39" i="39"/>
  <c r="K39" i="39" s="1"/>
  <c r="L39" i="39"/>
  <c r="I57" i="42"/>
  <c r="J57" i="39"/>
  <c r="K57" i="39" s="1"/>
  <c r="L57" i="39"/>
  <c r="F15" i="39"/>
  <c r="I44" i="42"/>
  <c r="J45" i="39"/>
  <c r="K45" i="39" s="1"/>
  <c r="F12" i="42"/>
  <c r="N12" i="42" s="1"/>
  <c r="J66" i="39"/>
  <c r="K66" i="39" s="1"/>
  <c r="I28" i="42"/>
  <c r="J28" i="42" s="1"/>
  <c r="P61" i="42"/>
  <c r="Q61" i="42" s="1"/>
  <c r="J61" i="42"/>
  <c r="O61" i="42"/>
  <c r="I47" i="42"/>
  <c r="O59" i="42"/>
  <c r="P59" i="42"/>
  <c r="Q59" i="42" s="1"/>
  <c r="J59" i="42"/>
  <c r="L69" i="39"/>
  <c r="I69" i="42"/>
  <c r="J69" i="39"/>
  <c r="K69" i="39" s="1"/>
  <c r="P72" i="42"/>
  <c r="J72" i="42"/>
  <c r="L25" i="39"/>
  <c r="J25" i="39"/>
  <c r="K25" i="39" s="1"/>
  <c r="I22" i="42"/>
  <c r="I14" i="42"/>
  <c r="L17" i="39"/>
  <c r="J17" i="39"/>
  <c r="K17" i="39" s="1"/>
  <c r="J14" i="39"/>
  <c r="K14" i="39" s="1"/>
  <c r="I11" i="42"/>
  <c r="L14" i="39"/>
  <c r="I10" i="42"/>
  <c r="J13" i="39"/>
  <c r="K13" i="39" s="1"/>
  <c r="L13" i="39"/>
  <c r="I12" i="42"/>
  <c r="J15" i="39"/>
  <c r="K15" i="39" s="1"/>
  <c r="L15" i="39"/>
  <c r="L23" i="39"/>
  <c r="I20" i="42"/>
  <c r="J23" i="39"/>
  <c r="K23" i="39" s="1"/>
  <c r="L20" i="39"/>
  <c r="I17" i="42"/>
  <c r="J20" i="39"/>
  <c r="K20" i="39" s="1"/>
  <c r="H15" i="39"/>
  <c r="G28" i="42"/>
  <c r="N28" i="42"/>
  <c r="E17" i="42"/>
  <c r="E20" i="39"/>
  <c r="G20" i="39" s="1"/>
  <c r="E18" i="42"/>
  <c r="E21" i="39"/>
  <c r="G21" i="39" s="1"/>
  <c r="N7" i="42"/>
  <c r="G7" i="42"/>
  <c r="E20" i="42"/>
  <c r="E23" i="39"/>
  <c r="G23" i="39" s="1"/>
  <c r="N20" i="42"/>
  <c r="G20" i="42"/>
  <c r="E7" i="42"/>
  <c r="E10" i="39"/>
  <c r="G10" i="39" s="1"/>
  <c r="E19" i="42"/>
  <c r="E22" i="39"/>
  <c r="G22" i="39" s="1"/>
  <c r="F72" i="42"/>
  <c r="F72" i="39"/>
  <c r="G66" i="42"/>
  <c r="N66" i="42"/>
  <c r="G17" i="42"/>
  <c r="N17" i="42"/>
  <c r="N23" i="42"/>
  <c r="G23" i="42"/>
  <c r="N22" i="42"/>
  <c r="G22" i="42"/>
  <c r="E21" i="42"/>
  <c r="E24" i="39"/>
  <c r="G24" i="39" s="1"/>
  <c r="E28" i="42"/>
  <c r="E66" i="42"/>
  <c r="E66" i="39"/>
  <c r="G66" i="39" s="1"/>
  <c r="N21" i="42"/>
  <c r="G21" i="42"/>
  <c r="G19" i="42"/>
  <c r="N19" i="42"/>
  <c r="E22" i="42"/>
  <c r="E25" i="39"/>
  <c r="G25" i="39" s="1"/>
  <c r="G18" i="42"/>
  <c r="N18" i="42"/>
  <c r="H39" i="39"/>
  <c r="H72" i="39"/>
  <c r="F74" i="64"/>
  <c r="H26" i="39"/>
  <c r="K23" i="51" l="1"/>
  <c r="R8" i="46"/>
  <c r="S8" i="46"/>
  <c r="T8" i="46" s="1"/>
  <c r="S5" i="46"/>
  <c r="T5" i="46" s="1"/>
  <c r="K27" i="64"/>
  <c r="L27" i="64"/>
  <c r="I26" i="64"/>
  <c r="I70" i="64"/>
  <c r="D76" i="64"/>
  <c r="J76" i="64" s="1"/>
  <c r="L23" i="64"/>
  <c r="K23" i="64"/>
  <c r="I24" i="64"/>
  <c r="K24" i="64"/>
  <c r="L24" i="64"/>
  <c r="I23" i="64"/>
  <c r="L26" i="64"/>
  <c r="K26" i="64"/>
  <c r="K25" i="64"/>
  <c r="L25" i="64"/>
  <c r="D56" i="64"/>
  <c r="J56" i="64" s="1"/>
  <c r="I27" i="64"/>
  <c r="D15" i="64"/>
  <c r="J15" i="64" s="1"/>
  <c r="I25" i="64"/>
  <c r="I28" i="64"/>
  <c r="D22" i="64"/>
  <c r="H36" i="64"/>
  <c r="K36" i="64" s="1"/>
  <c r="A2" i="68"/>
  <c r="A4" i="68" s="1"/>
  <c r="A6" i="68" s="1"/>
  <c r="I71" i="51"/>
  <c r="D77" i="51"/>
  <c r="K77" i="51" s="1"/>
  <c r="K24" i="51"/>
  <c r="P19" i="42"/>
  <c r="O19" i="42"/>
  <c r="O60" i="42"/>
  <c r="R60" i="42" s="1"/>
  <c r="J60" i="42"/>
  <c r="F22" i="64"/>
  <c r="K28" i="51"/>
  <c r="H18" i="51"/>
  <c r="J18" i="51" s="1"/>
  <c r="I10" i="64"/>
  <c r="I19" i="51"/>
  <c r="K19" i="51"/>
  <c r="F64" i="51"/>
  <c r="K26" i="51"/>
  <c r="I10" i="51"/>
  <c r="I27" i="51"/>
  <c r="F36" i="39"/>
  <c r="G4" i="56"/>
  <c r="F16" i="51"/>
  <c r="I25" i="51"/>
  <c r="P7" i="42"/>
  <c r="Q7" i="42" s="1"/>
  <c r="O7" i="42"/>
  <c r="J23" i="42"/>
  <c r="J21" i="42"/>
  <c r="O21" i="42"/>
  <c r="O66" i="42"/>
  <c r="P66" i="42"/>
  <c r="Q66" i="42" s="1"/>
  <c r="Q6" i="56"/>
  <c r="H35" i="64"/>
  <c r="O23" i="42"/>
  <c r="H45" i="64"/>
  <c r="I31" i="51"/>
  <c r="K31" i="51"/>
  <c r="O18" i="42"/>
  <c r="J18" i="42"/>
  <c r="H17" i="64"/>
  <c r="K17" i="64" s="1"/>
  <c r="F43" i="39"/>
  <c r="F42" i="42"/>
  <c r="G42" i="42" s="1"/>
  <c r="H43" i="39"/>
  <c r="F71" i="64"/>
  <c r="H69" i="39"/>
  <c r="F69" i="39"/>
  <c r="F69" i="42"/>
  <c r="G69" i="42" s="1"/>
  <c r="P46" i="42"/>
  <c r="Q46" i="42" s="1"/>
  <c r="O46" i="42"/>
  <c r="J46" i="42"/>
  <c r="P68" i="42"/>
  <c r="Q68" i="42" s="1"/>
  <c r="J68" i="42"/>
  <c r="O68" i="42"/>
  <c r="F40" i="51"/>
  <c r="G9" i="46"/>
  <c r="J32" i="39"/>
  <c r="K32" i="39" s="1"/>
  <c r="I31" i="42"/>
  <c r="P71" i="42"/>
  <c r="Q71" i="42" s="1"/>
  <c r="J71" i="42"/>
  <c r="O71" i="42"/>
  <c r="J41" i="42"/>
  <c r="P41" i="42"/>
  <c r="O41" i="42"/>
  <c r="P73" i="42"/>
  <c r="Q73" i="42" s="1"/>
  <c r="J73" i="42"/>
  <c r="O73" i="42"/>
  <c r="P50" i="42"/>
  <c r="Q50" i="42" s="1"/>
  <c r="J50" i="42"/>
  <c r="O50" i="42"/>
  <c r="L44" i="39"/>
  <c r="F48" i="51"/>
  <c r="H26" i="51"/>
  <c r="D15" i="51"/>
  <c r="H25" i="51"/>
  <c r="H24" i="51"/>
  <c r="H27" i="51"/>
  <c r="D44" i="51"/>
  <c r="H23" i="51"/>
  <c r="H15" i="64"/>
  <c r="N38" i="42"/>
  <c r="O38" i="42" s="1"/>
  <c r="G38" i="42"/>
  <c r="O22" i="42"/>
  <c r="H28" i="64"/>
  <c r="P28" i="42"/>
  <c r="Q28" i="42" s="1"/>
  <c r="O28" i="42"/>
  <c r="J38" i="42"/>
  <c r="P38" i="42"/>
  <c r="Q38" i="42" s="1"/>
  <c r="P42" i="42"/>
  <c r="J42" i="42"/>
  <c r="P57" i="42"/>
  <c r="J57" i="42"/>
  <c r="J44" i="39"/>
  <c r="K44" i="39" s="1"/>
  <c r="I43" i="42"/>
  <c r="P64" i="42"/>
  <c r="J64" i="42"/>
  <c r="P44" i="42"/>
  <c r="Q44" i="42" s="1"/>
  <c r="J44" i="42"/>
  <c r="O44" i="42"/>
  <c r="P69" i="42"/>
  <c r="J69" i="42"/>
  <c r="R59" i="42"/>
  <c r="I49" i="42"/>
  <c r="J50" i="39"/>
  <c r="K50" i="39" s="1"/>
  <c r="I48" i="42"/>
  <c r="J49" i="39"/>
  <c r="K49" i="39" s="1"/>
  <c r="J47" i="42"/>
  <c r="P47" i="42"/>
  <c r="O20" i="42"/>
  <c r="O17" i="42"/>
  <c r="P12" i="42"/>
  <c r="J12" i="42"/>
  <c r="J10" i="42"/>
  <c r="O10" i="42"/>
  <c r="P10" i="42"/>
  <c r="P11" i="42"/>
  <c r="Q11" i="42" s="1"/>
  <c r="J11" i="42"/>
  <c r="O11" i="42"/>
  <c r="P22" i="42"/>
  <c r="J22" i="42"/>
  <c r="P20" i="42"/>
  <c r="J20" i="42"/>
  <c r="P14" i="42"/>
  <c r="J14" i="42"/>
  <c r="J17" i="42"/>
  <c r="P17" i="42"/>
  <c r="E15" i="39"/>
  <c r="G15" i="39" s="1"/>
  <c r="E12" i="42"/>
  <c r="N22" i="39"/>
  <c r="F70" i="42"/>
  <c r="F70" i="39"/>
  <c r="N21" i="39"/>
  <c r="N24" i="39"/>
  <c r="E72" i="42"/>
  <c r="E72" i="39"/>
  <c r="G72" i="39" s="1"/>
  <c r="E23" i="42"/>
  <c r="E26" i="39"/>
  <c r="G26" i="39" s="1"/>
  <c r="N23" i="39"/>
  <c r="N20" i="39"/>
  <c r="G72" i="42"/>
  <c r="N72" i="42"/>
  <c r="O72" i="42" s="1"/>
  <c r="Q72" i="42"/>
  <c r="E39" i="39"/>
  <c r="G39" i="39" s="1"/>
  <c r="E38" i="42"/>
  <c r="H70" i="64"/>
  <c r="H36" i="39"/>
  <c r="H76" i="64"/>
  <c r="H70" i="39"/>
  <c r="Y23" i="1"/>
  <c r="Y65" i="1"/>
  <c r="Y63" i="1"/>
  <c r="Y60" i="1"/>
  <c r="Y57" i="1"/>
  <c r="Y51" i="1"/>
  <c r="Y48" i="1"/>
  <c r="Y43" i="1"/>
  <c r="Y41" i="1"/>
  <c r="Y39" i="1"/>
  <c r="Y37" i="1"/>
  <c r="Y35" i="1"/>
  <c r="Y33" i="1"/>
  <c r="Y31" i="1"/>
  <c r="Y29" i="1"/>
  <c r="Y27" i="1"/>
  <c r="Y25" i="1"/>
  <c r="Y21" i="1"/>
  <c r="Y19" i="1"/>
  <c r="Y13" i="1"/>
  <c r="Y10" i="1"/>
  <c r="F19" i="64" l="1"/>
  <c r="H36" i="51"/>
  <c r="J36" i="51" s="1"/>
  <c r="P9" i="46"/>
  <c r="O9" i="46" s="1"/>
  <c r="I22" i="64"/>
  <c r="K28" i="64"/>
  <c r="L28" i="64"/>
  <c r="I56" i="64"/>
  <c r="K76" i="64"/>
  <c r="L76" i="64"/>
  <c r="I76" i="64"/>
  <c r="K45" i="64"/>
  <c r="L45" i="64"/>
  <c r="D40" i="64"/>
  <c r="J40" i="64" s="1"/>
  <c r="D74" i="64"/>
  <c r="J74" i="64" s="1"/>
  <c r="H31" i="64"/>
  <c r="K31" i="64" s="1"/>
  <c r="D73" i="64"/>
  <c r="J73" i="64" s="1"/>
  <c r="L70" i="64"/>
  <c r="K70" i="64"/>
  <c r="L15" i="64"/>
  <c r="K15" i="64"/>
  <c r="D45" i="64"/>
  <c r="J45" i="64" s="1"/>
  <c r="I15" i="64"/>
  <c r="K35" i="64"/>
  <c r="L35" i="64"/>
  <c r="M31" i="64"/>
  <c r="H66" i="51"/>
  <c r="J66" i="51" s="1"/>
  <c r="K71" i="66"/>
  <c r="M71" i="66" s="1"/>
  <c r="H10" i="64"/>
  <c r="L10" i="64" s="1"/>
  <c r="F19" i="51"/>
  <c r="L16" i="39"/>
  <c r="I13" i="42"/>
  <c r="J16" i="39"/>
  <c r="K16" i="39" s="1"/>
  <c r="F39" i="64"/>
  <c r="I77" i="51"/>
  <c r="E41" i="39"/>
  <c r="G41" i="39" s="1"/>
  <c r="D75" i="51"/>
  <c r="K75" i="51" s="1"/>
  <c r="E43" i="39"/>
  <c r="G43" i="39" s="1"/>
  <c r="E42" i="42"/>
  <c r="D47" i="51"/>
  <c r="K47" i="51" s="1"/>
  <c r="H17" i="51"/>
  <c r="J17" i="51" s="1"/>
  <c r="H28" i="51"/>
  <c r="L28" i="51" s="1"/>
  <c r="H15" i="51"/>
  <c r="L15" i="51" s="1"/>
  <c r="H41" i="39"/>
  <c r="E69" i="39"/>
  <c r="G69" i="39" s="1"/>
  <c r="E69" i="42"/>
  <c r="F41" i="39"/>
  <c r="D74" i="51"/>
  <c r="I74" i="51" s="1"/>
  <c r="H67" i="39"/>
  <c r="Q4" i="56"/>
  <c r="F67" i="39"/>
  <c r="F67" i="42"/>
  <c r="G67" i="42" s="1"/>
  <c r="N42" i="42"/>
  <c r="O42" i="42" s="1"/>
  <c r="Q42" i="42"/>
  <c r="Q69" i="42"/>
  <c r="N69" i="42"/>
  <c r="O69" i="42" s="1"/>
  <c r="K9" i="46"/>
  <c r="J9" i="46"/>
  <c r="H30" i="51"/>
  <c r="J30" i="51" s="1"/>
  <c r="P31" i="42"/>
  <c r="Q31" i="42" s="1"/>
  <c r="J31" i="42"/>
  <c r="O31" i="42"/>
  <c r="H44" i="64"/>
  <c r="J23" i="51"/>
  <c r="L23" i="51"/>
  <c r="J25" i="51"/>
  <c r="L25" i="51"/>
  <c r="L26" i="51"/>
  <c r="J26" i="51"/>
  <c r="D42" i="51"/>
  <c r="K44" i="51"/>
  <c r="I44" i="51"/>
  <c r="H71" i="51"/>
  <c r="L27" i="51"/>
  <c r="J27" i="51"/>
  <c r="H10" i="51"/>
  <c r="H77" i="51"/>
  <c r="J24" i="51"/>
  <c r="L24" i="51"/>
  <c r="I15" i="51"/>
  <c r="K15" i="51"/>
  <c r="H47" i="51"/>
  <c r="N15" i="39"/>
  <c r="O15" i="39" s="1"/>
  <c r="H13" i="64"/>
  <c r="H14" i="64"/>
  <c r="H47" i="64"/>
  <c r="H34" i="64"/>
  <c r="L22" i="42"/>
  <c r="M22" i="42" s="1"/>
  <c r="R22" i="42" s="1"/>
  <c r="N25" i="39"/>
  <c r="O25" i="39" s="1"/>
  <c r="P43" i="42"/>
  <c r="Q43" i="42" s="1"/>
  <c r="J43" i="42"/>
  <c r="O43" i="42"/>
  <c r="P49" i="42"/>
  <c r="J49" i="42"/>
  <c r="P48" i="42"/>
  <c r="J48" i="42"/>
  <c r="Q10" i="42"/>
  <c r="E14" i="40"/>
  <c r="N72" i="39"/>
  <c r="E5" i="40"/>
  <c r="N10" i="39"/>
  <c r="P20" i="39"/>
  <c r="O20" i="39"/>
  <c r="N26" i="39"/>
  <c r="L17" i="42"/>
  <c r="M17" i="42" s="1"/>
  <c r="R17" i="42" s="1"/>
  <c r="P23" i="39"/>
  <c r="O23" i="39"/>
  <c r="P24" i="39"/>
  <c r="O24" i="39"/>
  <c r="L20" i="42"/>
  <c r="M20" i="42" s="1"/>
  <c r="R20" i="42" s="1"/>
  <c r="L21" i="42"/>
  <c r="M21" i="42" s="1"/>
  <c r="R21" i="42" s="1"/>
  <c r="P22" i="39"/>
  <c r="O22" i="39"/>
  <c r="E70" i="42"/>
  <c r="E70" i="39"/>
  <c r="G70" i="39" s="1"/>
  <c r="O21" i="39"/>
  <c r="P21" i="39"/>
  <c r="L19" i="42"/>
  <c r="M19" i="42" s="1"/>
  <c r="R19" i="42" s="1"/>
  <c r="E36" i="39"/>
  <c r="G36" i="39" s="1"/>
  <c r="L18" i="42"/>
  <c r="M18" i="42" s="1"/>
  <c r="R18" i="42" s="1"/>
  <c r="E10" i="40"/>
  <c r="E7" i="40"/>
  <c r="N66" i="39"/>
  <c r="G70" i="42"/>
  <c r="N70" i="42"/>
  <c r="N43" i="39"/>
  <c r="H60" i="64" l="1"/>
  <c r="K60" i="64" s="1"/>
  <c r="M60" i="64"/>
  <c r="P31" i="64"/>
  <c r="S9" i="46"/>
  <c r="T9" i="46" s="1"/>
  <c r="R9" i="46"/>
  <c r="P18" i="64"/>
  <c r="M18" i="64"/>
  <c r="O24" i="64"/>
  <c r="M24" i="64"/>
  <c r="O25" i="64"/>
  <c r="M25" i="64"/>
  <c r="P27" i="64"/>
  <c r="M27" i="64"/>
  <c r="P23" i="64"/>
  <c r="M23" i="64"/>
  <c r="P26" i="64"/>
  <c r="M26" i="64"/>
  <c r="K47" i="64"/>
  <c r="L47" i="64"/>
  <c r="L14" i="64"/>
  <c r="K14" i="64"/>
  <c r="L13" i="64"/>
  <c r="K13" i="64"/>
  <c r="I73" i="64"/>
  <c r="F45" i="51"/>
  <c r="F43" i="64"/>
  <c r="K44" i="64"/>
  <c r="L44" i="64"/>
  <c r="H16" i="64"/>
  <c r="K16" i="64" s="1"/>
  <c r="I74" i="64"/>
  <c r="D43" i="64"/>
  <c r="J43" i="64" s="1"/>
  <c r="I45" i="64"/>
  <c r="I40" i="64"/>
  <c r="K34" i="64"/>
  <c r="L34" i="64"/>
  <c r="D71" i="64"/>
  <c r="J71" i="64" s="1"/>
  <c r="N25" i="64"/>
  <c r="N18" i="64"/>
  <c r="O18" i="64"/>
  <c r="P25" i="64"/>
  <c r="P24" i="64"/>
  <c r="N27" i="64"/>
  <c r="O27" i="64"/>
  <c r="N26" i="64"/>
  <c r="N24" i="64"/>
  <c r="O23" i="64"/>
  <c r="O26" i="64"/>
  <c r="N23" i="64"/>
  <c r="M76" i="64"/>
  <c r="M36" i="64"/>
  <c r="H49" i="64"/>
  <c r="O31" i="64"/>
  <c r="N31" i="64"/>
  <c r="D45" i="51"/>
  <c r="K45" i="51" s="1"/>
  <c r="I75" i="51"/>
  <c r="I47" i="51"/>
  <c r="P13" i="42"/>
  <c r="O13" i="42"/>
  <c r="J13" i="42"/>
  <c r="K10" i="64"/>
  <c r="E67" i="42"/>
  <c r="D72" i="51"/>
  <c r="K72" i="51" s="1"/>
  <c r="K74" i="51"/>
  <c r="J28" i="51"/>
  <c r="J15" i="51"/>
  <c r="H49" i="51"/>
  <c r="J49" i="51" s="1"/>
  <c r="H33" i="51"/>
  <c r="L33" i="51" s="1"/>
  <c r="H13" i="51"/>
  <c r="L13" i="51" s="1"/>
  <c r="J41" i="39"/>
  <c r="K41" i="39" s="1"/>
  <c r="E67" i="39"/>
  <c r="G67" i="39" s="1"/>
  <c r="L41" i="39"/>
  <c r="H14" i="51"/>
  <c r="J14" i="51" s="1"/>
  <c r="N67" i="42"/>
  <c r="H16" i="51"/>
  <c r="J16" i="51" s="1"/>
  <c r="H43" i="64"/>
  <c r="C8" i="43"/>
  <c r="N42" i="39"/>
  <c r="E25" i="40"/>
  <c r="H46" i="51"/>
  <c r="C7" i="43"/>
  <c r="K42" i="51"/>
  <c r="I42" i="51"/>
  <c r="L77" i="51"/>
  <c r="J77" i="51"/>
  <c r="L65" i="42"/>
  <c r="M65" i="42" s="1"/>
  <c r="L47" i="51"/>
  <c r="J47" i="51"/>
  <c r="J10" i="51"/>
  <c r="L10" i="51"/>
  <c r="L12" i="42"/>
  <c r="M12" i="42" s="1"/>
  <c r="R12" i="42" s="1"/>
  <c r="L71" i="51"/>
  <c r="J71" i="51"/>
  <c r="P25" i="39"/>
  <c r="N13" i="39"/>
  <c r="P13" i="39" s="1"/>
  <c r="N14" i="39"/>
  <c r="O14" i="39" s="1"/>
  <c r="N45" i="39"/>
  <c r="O45" i="39" s="1"/>
  <c r="L44" i="42"/>
  <c r="M44" i="42" s="1"/>
  <c r="R44" i="42" s="1"/>
  <c r="H46" i="64"/>
  <c r="N30" i="39"/>
  <c r="P30" i="39" s="1"/>
  <c r="N29" i="39"/>
  <c r="O29" i="39" s="1"/>
  <c r="L7" i="42"/>
  <c r="M7" i="42" s="1"/>
  <c r="R7" i="42" s="1"/>
  <c r="H5" i="40"/>
  <c r="G5" i="40"/>
  <c r="O66" i="39"/>
  <c r="P66" i="39"/>
  <c r="L23" i="42"/>
  <c r="M23" i="42" s="1"/>
  <c r="R23" i="42" s="1"/>
  <c r="G7" i="40"/>
  <c r="H7" i="40"/>
  <c r="P72" i="39"/>
  <c r="O72" i="39"/>
  <c r="E17" i="40"/>
  <c r="G10" i="40"/>
  <c r="H10" i="40"/>
  <c r="G14" i="40"/>
  <c r="H14" i="40"/>
  <c r="L42" i="42"/>
  <c r="M42" i="42" s="1"/>
  <c r="R42" i="42" s="1"/>
  <c r="L72" i="42"/>
  <c r="M72" i="42" s="1"/>
  <c r="P26" i="39"/>
  <c r="O26" i="39"/>
  <c r="P10" i="39"/>
  <c r="O10" i="39"/>
  <c r="O43" i="39"/>
  <c r="P43" i="39"/>
  <c r="H42" i="64"/>
  <c r="H73" i="64"/>
  <c r="S60" i="1"/>
  <c r="H19" i="64" l="1"/>
  <c r="L19" i="64" s="1"/>
  <c r="P60" i="64"/>
  <c r="N60" i="64"/>
  <c r="O60" i="64"/>
  <c r="P76" i="64"/>
  <c r="P10" i="64"/>
  <c r="M10" i="64"/>
  <c r="P45" i="64"/>
  <c r="M45" i="64"/>
  <c r="O35" i="64"/>
  <c r="M35" i="64"/>
  <c r="P17" i="64"/>
  <c r="M17" i="64"/>
  <c r="P36" i="64"/>
  <c r="P16" i="64"/>
  <c r="M16" i="64"/>
  <c r="O28" i="64"/>
  <c r="M28" i="64"/>
  <c r="P15" i="64"/>
  <c r="M15" i="64"/>
  <c r="O70" i="64"/>
  <c r="M70" i="64"/>
  <c r="L46" i="64"/>
  <c r="K46" i="64"/>
  <c r="P35" i="64"/>
  <c r="L49" i="64"/>
  <c r="K49" i="64"/>
  <c r="I43" i="64"/>
  <c r="K43" i="64"/>
  <c r="L43" i="64"/>
  <c r="L42" i="64"/>
  <c r="K42" i="64"/>
  <c r="K73" i="64"/>
  <c r="L73" i="64"/>
  <c r="I71" i="64"/>
  <c r="P28" i="64"/>
  <c r="N17" i="64"/>
  <c r="O17" i="64"/>
  <c r="N15" i="64"/>
  <c r="I45" i="51"/>
  <c r="O15" i="64"/>
  <c r="N28" i="64"/>
  <c r="P70" i="64"/>
  <c r="N70" i="64"/>
  <c r="P14" i="64"/>
  <c r="P34" i="64"/>
  <c r="N45" i="64"/>
  <c r="O45" i="64"/>
  <c r="N35" i="64"/>
  <c r="H51" i="51"/>
  <c r="M44" i="64"/>
  <c r="N16" i="64"/>
  <c r="O36" i="64"/>
  <c r="N36" i="64"/>
  <c r="O16" i="64"/>
  <c r="N76" i="64"/>
  <c r="O76" i="64"/>
  <c r="N10" i="64"/>
  <c r="O10" i="64"/>
  <c r="N16" i="39"/>
  <c r="H19" i="51"/>
  <c r="B8" i="67"/>
  <c r="B9" i="67" s="1"/>
  <c r="C9" i="67" s="1"/>
  <c r="M9" i="67" s="1"/>
  <c r="I72" i="51"/>
  <c r="L49" i="51"/>
  <c r="J33" i="51"/>
  <c r="J13" i="51"/>
  <c r="H48" i="51"/>
  <c r="J48" i="51" s="1"/>
  <c r="O13" i="39"/>
  <c r="H59" i="64"/>
  <c r="K59" i="64" s="1"/>
  <c r="H65" i="51"/>
  <c r="J65" i="51" s="1"/>
  <c r="N41" i="39"/>
  <c r="O41" i="39" s="1"/>
  <c r="L14" i="51"/>
  <c r="H45" i="51"/>
  <c r="J45" i="51" s="1"/>
  <c r="L10" i="42"/>
  <c r="M10" i="42" s="1"/>
  <c r="R10" i="42" s="1"/>
  <c r="L27" i="42"/>
  <c r="M27" i="42" s="1"/>
  <c r="R27" i="42" s="1"/>
  <c r="P42" i="39"/>
  <c r="O42" i="39"/>
  <c r="J46" i="51"/>
  <c r="L46" i="51"/>
  <c r="L41" i="42"/>
  <c r="M41" i="42" s="1"/>
  <c r="G25" i="40"/>
  <c r="H25" i="40"/>
  <c r="E32" i="40"/>
  <c r="F25" i="40" s="1"/>
  <c r="F32" i="40" s="1"/>
  <c r="H44" i="51"/>
  <c r="H74" i="51"/>
  <c r="P45" i="39"/>
  <c r="L11" i="42"/>
  <c r="M11" i="42" s="1"/>
  <c r="R11" i="42" s="1"/>
  <c r="P14" i="39"/>
  <c r="L26" i="42"/>
  <c r="M26" i="42" s="1"/>
  <c r="P29" i="39"/>
  <c r="L43" i="42"/>
  <c r="M43" i="42" s="1"/>
  <c r="R43" i="42" s="1"/>
  <c r="N44" i="39"/>
  <c r="O44" i="39" s="1"/>
  <c r="O30" i="39"/>
  <c r="F33" i="42"/>
  <c r="G33" i="42" s="1"/>
  <c r="F34" i="39"/>
  <c r="F34" i="42"/>
  <c r="G34" i="42" s="1"/>
  <c r="E9" i="40"/>
  <c r="G17" i="40"/>
  <c r="H17" i="40"/>
  <c r="E33" i="42"/>
  <c r="E11" i="40"/>
  <c r="N69" i="39"/>
  <c r="N39" i="39"/>
  <c r="E34" i="39"/>
  <c r="G34" i="39" s="1"/>
  <c r="F21" i="64" l="1"/>
  <c r="K19" i="64"/>
  <c r="P44" i="64"/>
  <c r="O34" i="64"/>
  <c r="M34" i="64"/>
  <c r="O14" i="64"/>
  <c r="M14" i="64"/>
  <c r="P13" i="64"/>
  <c r="M13" i="64"/>
  <c r="P47" i="64"/>
  <c r="M47" i="64"/>
  <c r="H22" i="64"/>
  <c r="K22" i="64" s="1"/>
  <c r="N34" i="64"/>
  <c r="N14" i="64"/>
  <c r="M49" i="64"/>
  <c r="J51" i="51"/>
  <c r="L51" i="51"/>
  <c r="L46" i="42"/>
  <c r="M46" i="42" s="1"/>
  <c r="R46" i="42" s="1"/>
  <c r="M59" i="64"/>
  <c r="L19" i="51"/>
  <c r="J19" i="51"/>
  <c r="O16" i="39"/>
  <c r="P16" i="39"/>
  <c r="L13" i="42"/>
  <c r="M13" i="42" s="1"/>
  <c r="R13" i="42" s="1"/>
  <c r="L18" i="39"/>
  <c r="J18" i="39"/>
  <c r="K18" i="39" s="1"/>
  <c r="F21" i="51"/>
  <c r="I15" i="42"/>
  <c r="L48" i="51"/>
  <c r="C11" i="67"/>
  <c r="B11" i="67"/>
  <c r="L45" i="51"/>
  <c r="P41" i="39"/>
  <c r="H64" i="51"/>
  <c r="J64" i="51" s="1"/>
  <c r="G32" i="40"/>
  <c r="H32" i="40"/>
  <c r="L74" i="51"/>
  <c r="J74" i="51"/>
  <c r="J44" i="51"/>
  <c r="L44" i="51"/>
  <c r="P44" i="39"/>
  <c r="N33" i="42"/>
  <c r="N34" i="42"/>
  <c r="F49" i="42"/>
  <c r="Q49" i="42" s="1"/>
  <c r="F35" i="39"/>
  <c r="E34" i="42"/>
  <c r="F50" i="39"/>
  <c r="O69" i="39"/>
  <c r="P69" i="39"/>
  <c r="G11" i="40"/>
  <c r="H11" i="40"/>
  <c r="E18" i="40"/>
  <c r="H9" i="40"/>
  <c r="G9" i="40"/>
  <c r="E49" i="39"/>
  <c r="G49" i="39" s="1"/>
  <c r="E48" i="42"/>
  <c r="L38" i="42"/>
  <c r="M38" i="42" s="1"/>
  <c r="R38" i="42" s="1"/>
  <c r="P39" i="39"/>
  <c r="O39" i="39"/>
  <c r="E35" i="39"/>
  <c r="G35" i="39" s="1"/>
  <c r="S65" i="1"/>
  <c r="T65" i="1" s="1"/>
  <c r="S64" i="1"/>
  <c r="S63" i="1"/>
  <c r="T63" i="1" s="1"/>
  <c r="S62" i="1"/>
  <c r="T60" i="1"/>
  <c r="S59" i="1"/>
  <c r="S57" i="1"/>
  <c r="T57" i="1" s="1"/>
  <c r="S56" i="1"/>
  <c r="S51" i="1"/>
  <c r="T51" i="1" s="1"/>
  <c r="S50" i="1"/>
  <c r="S48" i="1"/>
  <c r="T48" i="1" s="1"/>
  <c r="S47" i="1"/>
  <c r="O13" i="64" l="1"/>
  <c r="N13" i="64"/>
  <c r="P43" i="64"/>
  <c r="M43" i="64"/>
  <c r="O43" i="64"/>
  <c r="O44" i="64"/>
  <c r="N43" i="64"/>
  <c r="N44" i="64"/>
  <c r="P42" i="64"/>
  <c r="M42" i="64"/>
  <c r="P49" i="64"/>
  <c r="P19" i="64"/>
  <c r="M19" i="64"/>
  <c r="P73" i="64"/>
  <c r="M73" i="64"/>
  <c r="N59" i="64"/>
  <c r="O59" i="64"/>
  <c r="P46" i="64"/>
  <c r="M46" i="64"/>
  <c r="O46" i="64"/>
  <c r="O47" i="64"/>
  <c r="N46" i="64"/>
  <c r="N47" i="64"/>
  <c r="N19" i="64"/>
  <c r="O19" i="64"/>
  <c r="O73" i="64"/>
  <c r="N73" i="64"/>
  <c r="O49" i="64"/>
  <c r="N49" i="64"/>
  <c r="P59" i="64"/>
  <c r="O42" i="64"/>
  <c r="N42" i="64"/>
  <c r="J15" i="42"/>
  <c r="P15" i="42"/>
  <c r="G49" i="42"/>
  <c r="N49" i="42"/>
  <c r="O49" i="42" s="1"/>
  <c r="F48" i="42"/>
  <c r="F49" i="39"/>
  <c r="F18" i="40"/>
  <c r="G18" i="40"/>
  <c r="H18" i="40"/>
  <c r="F7" i="40"/>
  <c r="F14" i="40"/>
  <c r="F11" i="40"/>
  <c r="E50" i="39"/>
  <c r="G50" i="39" s="1"/>
  <c r="E49" i="42"/>
  <c r="S42" i="1"/>
  <c r="S40" i="1"/>
  <c r="S38" i="1"/>
  <c r="S36" i="1"/>
  <c r="S34" i="1"/>
  <c r="S32" i="1"/>
  <c r="S30" i="1"/>
  <c r="S28" i="1"/>
  <c r="S26" i="1"/>
  <c r="S24" i="1"/>
  <c r="S20" i="1"/>
  <c r="S18" i="1"/>
  <c r="S12" i="1"/>
  <c r="S8" i="1"/>
  <c r="O22" i="64" l="1"/>
  <c r="M22" i="64"/>
  <c r="P22" i="64"/>
  <c r="N22" i="64"/>
  <c r="G48" i="42"/>
  <c r="N48" i="42"/>
  <c r="O48" i="42" s="1"/>
  <c r="Q48" i="42"/>
  <c r="S43" i="1" l="1"/>
  <c r="T43" i="1" s="1"/>
  <c r="S41" i="1"/>
  <c r="T41" i="1" s="1"/>
  <c r="S39" i="1"/>
  <c r="T39" i="1" s="1"/>
  <c r="S37" i="1"/>
  <c r="T37" i="1" s="1"/>
  <c r="S35" i="1"/>
  <c r="T35" i="1" s="1"/>
  <c r="S33" i="1"/>
  <c r="T33" i="1" s="1"/>
  <c r="S31" i="1"/>
  <c r="T31" i="1" s="1"/>
  <c r="S29" i="1"/>
  <c r="T29" i="1" s="1"/>
  <c r="S27" i="1"/>
  <c r="T27" i="1" s="1"/>
  <c r="S25" i="1"/>
  <c r="T25" i="1" s="1"/>
  <c r="S21" i="1"/>
  <c r="T21" i="1" s="1"/>
  <c r="S19" i="1"/>
  <c r="T19" i="1" s="1"/>
  <c r="S13" i="1"/>
  <c r="S10" i="1"/>
  <c r="T10" i="1" s="1"/>
  <c r="AB69" i="1" l="1"/>
  <c r="AA69" i="1"/>
  <c r="AA45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A22" i="1"/>
  <c r="AA23" i="1"/>
  <c r="AB21" i="1"/>
  <c r="AA21" i="1"/>
  <c r="AB20" i="1"/>
  <c r="AA20" i="1"/>
  <c r="AB19" i="1"/>
  <c r="AA19" i="1"/>
  <c r="AB18" i="1"/>
  <c r="AA18" i="1"/>
  <c r="AB13" i="1"/>
  <c r="AA13" i="1"/>
  <c r="AB12" i="1"/>
  <c r="AA12" i="1"/>
  <c r="AB11" i="1"/>
  <c r="AA11" i="1"/>
  <c r="AB10" i="1"/>
  <c r="AA10" i="1"/>
  <c r="AB9" i="1"/>
  <c r="AA9" i="1"/>
  <c r="AB8" i="1"/>
  <c r="AA8" i="1"/>
  <c r="V69" i="1"/>
  <c r="U69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1" i="1"/>
  <c r="U21" i="1"/>
  <c r="V20" i="1"/>
  <c r="U20" i="1"/>
  <c r="V19" i="1"/>
  <c r="U19" i="1"/>
  <c r="V18" i="1"/>
  <c r="U18" i="1"/>
  <c r="U8" i="1"/>
  <c r="V8" i="1"/>
  <c r="U9" i="1"/>
  <c r="V9" i="1"/>
  <c r="U10" i="1"/>
  <c r="V10" i="1"/>
  <c r="U11" i="1"/>
  <c r="V11" i="1"/>
  <c r="U12" i="1"/>
  <c r="V12" i="1"/>
  <c r="U13" i="1"/>
  <c r="V13" i="1"/>
  <c r="AB7" i="1"/>
  <c r="AA7" i="1"/>
  <c r="V7" i="1"/>
  <c r="U7" i="1"/>
  <c r="J7" i="1"/>
  <c r="J69" i="1"/>
  <c r="I69" i="1"/>
  <c r="J60" i="1"/>
  <c r="I60" i="1"/>
  <c r="J59" i="1"/>
  <c r="I59" i="1"/>
  <c r="J58" i="1"/>
  <c r="I58" i="1"/>
  <c r="J51" i="1"/>
  <c r="I51" i="1"/>
  <c r="J50" i="1"/>
  <c r="I50" i="1"/>
  <c r="J49" i="1"/>
  <c r="I49" i="1"/>
  <c r="J48" i="1"/>
  <c r="I48" i="1"/>
  <c r="J47" i="1"/>
  <c r="I47" i="1"/>
  <c r="J46" i="1"/>
  <c r="I46" i="1"/>
  <c r="J29" i="1"/>
  <c r="I29" i="1"/>
  <c r="J28" i="1"/>
  <c r="I28" i="1"/>
  <c r="J27" i="1"/>
  <c r="I27" i="1"/>
  <c r="J26" i="1"/>
  <c r="I26" i="1"/>
  <c r="I8" i="1"/>
  <c r="J8" i="1"/>
  <c r="I9" i="1"/>
  <c r="J9" i="1"/>
  <c r="I10" i="1"/>
  <c r="J10" i="1"/>
  <c r="I11" i="1"/>
  <c r="J11" i="1"/>
  <c r="I12" i="1"/>
  <c r="I13" i="1"/>
  <c r="I7" i="1"/>
  <c r="F69" i="1"/>
  <c r="F60" i="1"/>
  <c r="F59" i="1"/>
  <c r="F58" i="1"/>
  <c r="F51" i="1"/>
  <c r="F50" i="1"/>
  <c r="F49" i="1"/>
  <c r="F48" i="1"/>
  <c r="F47" i="1"/>
  <c r="F46" i="1"/>
  <c r="F29" i="1"/>
  <c r="F28" i="1"/>
  <c r="F27" i="1"/>
  <c r="F26" i="1"/>
  <c r="F8" i="1"/>
  <c r="F9" i="1"/>
  <c r="F10" i="1"/>
  <c r="F11" i="1"/>
  <c r="F7" i="1"/>
  <c r="G78" i="64" l="1"/>
  <c r="G80" i="51"/>
  <c r="G78" i="51" l="1"/>
  <c r="H63" i="42" l="1"/>
  <c r="L37" i="39" l="1"/>
  <c r="F42" i="51" l="1"/>
  <c r="L36" i="39"/>
  <c r="J36" i="39"/>
  <c r="K36" i="39" s="1"/>
  <c r="L55" i="39" l="1"/>
  <c r="H41" i="64" l="1"/>
  <c r="H55" i="64" l="1"/>
  <c r="K55" i="64"/>
  <c r="L55" i="64"/>
  <c r="L41" i="64"/>
  <c r="K41" i="64"/>
  <c r="H38" i="64"/>
  <c r="L55" i="42"/>
  <c r="M55" i="42" s="1"/>
  <c r="R55" i="42" s="1"/>
  <c r="H57" i="51"/>
  <c r="H43" i="51"/>
  <c r="H40" i="64"/>
  <c r="E24" i="40"/>
  <c r="N37" i="39"/>
  <c r="E28" i="40"/>
  <c r="N55" i="39"/>
  <c r="L40" i="64" l="1"/>
  <c r="K40" i="64"/>
  <c r="K38" i="64"/>
  <c r="L38" i="64"/>
  <c r="M41" i="64"/>
  <c r="P41" i="64"/>
  <c r="L57" i="51"/>
  <c r="J57" i="51"/>
  <c r="J43" i="51"/>
  <c r="L43" i="51"/>
  <c r="H42" i="51"/>
  <c r="H24" i="40"/>
  <c r="G24" i="40"/>
  <c r="L36" i="42"/>
  <c r="M36" i="42" s="1"/>
  <c r="R36" i="42" s="1"/>
  <c r="P37" i="39"/>
  <c r="O37" i="39"/>
  <c r="N36" i="39"/>
  <c r="E31" i="40"/>
  <c r="F28" i="40" s="1"/>
  <c r="G28" i="40"/>
  <c r="H28" i="40"/>
  <c r="O55" i="39"/>
  <c r="P55" i="39"/>
  <c r="M55" i="64" l="1"/>
  <c r="O41" i="64"/>
  <c r="N41" i="64"/>
  <c r="P55" i="64"/>
  <c r="L42" i="51"/>
  <c r="J42" i="51"/>
  <c r="O36" i="39"/>
  <c r="P36" i="39"/>
  <c r="F24" i="40"/>
  <c r="F31" i="40" s="1"/>
  <c r="G31" i="40"/>
  <c r="H31" i="40"/>
  <c r="O55" i="64" l="1"/>
  <c r="N55" i="64"/>
  <c r="P38" i="64"/>
  <c r="M38" i="64"/>
  <c r="P40" i="64"/>
  <c r="M40" i="64"/>
  <c r="N38" i="64"/>
  <c r="N40" i="64"/>
  <c r="O38" i="64"/>
  <c r="O40" i="64"/>
  <c r="L71" i="39" l="1"/>
  <c r="L32" i="39"/>
  <c r="L68" i="39"/>
  <c r="H72" i="64"/>
  <c r="K72" i="64" l="1"/>
  <c r="L72" i="64"/>
  <c r="F75" i="51"/>
  <c r="F72" i="51"/>
  <c r="L70" i="39"/>
  <c r="I67" i="42"/>
  <c r="J67" i="39"/>
  <c r="K67" i="39" s="1"/>
  <c r="J70" i="39"/>
  <c r="K70" i="39" s="1"/>
  <c r="I70" i="42"/>
  <c r="H75" i="64"/>
  <c r="L67" i="39"/>
  <c r="L75" i="64" l="1"/>
  <c r="K75" i="64"/>
  <c r="M72" i="64"/>
  <c r="P72" i="64"/>
  <c r="H40" i="51"/>
  <c r="L40" i="51" s="1"/>
  <c r="H76" i="51"/>
  <c r="P70" i="42"/>
  <c r="Q70" i="42" s="1"/>
  <c r="J70" i="42"/>
  <c r="O70" i="42"/>
  <c r="P67" i="42"/>
  <c r="Q67" i="42" s="1"/>
  <c r="J67" i="42"/>
  <c r="O67" i="42"/>
  <c r="N71" i="39"/>
  <c r="O71" i="39" s="1"/>
  <c r="E29" i="40"/>
  <c r="H74" i="64"/>
  <c r="L74" i="64" l="1"/>
  <c r="K74" i="64"/>
  <c r="M75" i="64"/>
  <c r="P75" i="64"/>
  <c r="M71" i="64"/>
  <c r="P71" i="64"/>
  <c r="J40" i="51"/>
  <c r="H38" i="51"/>
  <c r="L76" i="51"/>
  <c r="J76" i="51"/>
  <c r="H73" i="51"/>
  <c r="L69" i="42"/>
  <c r="M69" i="42" s="1"/>
  <c r="H75" i="51"/>
  <c r="P71" i="39"/>
  <c r="G29" i="40"/>
  <c r="H29" i="40"/>
  <c r="E26" i="40"/>
  <c r="N68" i="39"/>
  <c r="N70" i="39"/>
  <c r="O70" i="39" s="1"/>
  <c r="L73" i="42"/>
  <c r="M73" i="42" s="1"/>
  <c r="R73" i="42" s="1"/>
  <c r="L71" i="42"/>
  <c r="M71" i="42" s="1"/>
  <c r="O71" i="64" l="1"/>
  <c r="O72" i="64"/>
  <c r="N71" i="64"/>
  <c r="N72" i="64"/>
  <c r="J38" i="51"/>
  <c r="L38" i="51"/>
  <c r="L73" i="51"/>
  <c r="J73" i="51"/>
  <c r="J75" i="51"/>
  <c r="L75" i="51"/>
  <c r="E33" i="40"/>
  <c r="H26" i="40"/>
  <c r="G26" i="40"/>
  <c r="L50" i="42"/>
  <c r="M50" i="42" s="1"/>
  <c r="R50" i="42" s="1"/>
  <c r="L68" i="42"/>
  <c r="M68" i="42" s="1"/>
  <c r="P70" i="39"/>
  <c r="L70" i="42"/>
  <c r="M70" i="42" s="1"/>
  <c r="O68" i="39"/>
  <c r="P68" i="39"/>
  <c r="H71" i="64"/>
  <c r="L47" i="39"/>
  <c r="O74" i="64" l="1"/>
  <c r="O75" i="64"/>
  <c r="N74" i="64"/>
  <c r="N75" i="64"/>
  <c r="P74" i="64"/>
  <c r="M74" i="64"/>
  <c r="K71" i="64"/>
  <c r="L71" i="64"/>
  <c r="H72" i="51"/>
  <c r="N67" i="39"/>
  <c r="F26" i="40"/>
  <c r="F33" i="40"/>
  <c r="G33" i="40"/>
  <c r="H33" i="40"/>
  <c r="F29" i="40"/>
  <c r="L66" i="42" l="1"/>
  <c r="M66" i="42" s="1"/>
  <c r="L28" i="42"/>
  <c r="M28" i="42" s="1"/>
  <c r="R28" i="42" s="1"/>
  <c r="J72" i="51"/>
  <c r="L72" i="51"/>
  <c r="O67" i="39"/>
  <c r="P67" i="39"/>
  <c r="L67" i="42"/>
  <c r="M67" i="42" s="1"/>
  <c r="L64" i="39" l="1"/>
  <c r="L64" i="42" l="1"/>
  <c r="M64" i="42" s="1"/>
  <c r="L48" i="39"/>
  <c r="J48" i="39"/>
  <c r="K48" i="39" s="1"/>
  <c r="J34" i="39" l="1"/>
  <c r="K34" i="39" s="1"/>
  <c r="I33" i="42"/>
  <c r="J35" i="39"/>
  <c r="K35" i="39" s="1"/>
  <c r="I34" i="42"/>
  <c r="P34" i="42" l="1"/>
  <c r="Q34" i="42" s="1"/>
  <c r="J34" i="42"/>
  <c r="O34" i="42"/>
  <c r="P33" i="42"/>
  <c r="Q33" i="42" s="1"/>
  <c r="J33" i="42"/>
  <c r="O33" i="42"/>
  <c r="L34" i="42" l="1"/>
  <c r="M34" i="42" s="1"/>
  <c r="R34" i="42" s="1"/>
  <c r="N34" i="39"/>
  <c r="O34" i="39" s="1"/>
  <c r="N35" i="39"/>
  <c r="P34" i="39" l="1"/>
  <c r="L48" i="42"/>
  <c r="M48" i="42" s="1"/>
  <c r="R48" i="42" s="1"/>
  <c r="L33" i="42"/>
  <c r="M33" i="42" s="1"/>
  <c r="R33" i="42" s="1"/>
  <c r="N50" i="39"/>
  <c r="O50" i="39" s="1"/>
  <c r="N49" i="39"/>
  <c r="P35" i="39"/>
  <c r="O35" i="39"/>
  <c r="P50" i="39" l="1"/>
  <c r="L49" i="42"/>
  <c r="M49" i="42" s="1"/>
  <c r="R49" i="42" s="1"/>
  <c r="P49" i="39"/>
  <c r="O49" i="39"/>
  <c r="N47" i="39" l="1"/>
  <c r="O47" i="39" s="1"/>
  <c r="P47" i="39" l="1"/>
  <c r="N32" i="39"/>
  <c r="E23" i="40"/>
  <c r="L31" i="42" l="1"/>
  <c r="M31" i="42" s="1"/>
  <c r="G23" i="40"/>
  <c r="H23" i="40"/>
  <c r="P32" i="39"/>
  <c r="O32" i="39"/>
  <c r="R31" i="42" l="1"/>
  <c r="C9" i="43" l="1"/>
  <c r="C10" i="43" l="1"/>
  <c r="G67" i="64" l="1"/>
  <c r="G66" i="64"/>
  <c r="G68" i="51"/>
  <c r="G52" i="64" l="1"/>
  <c r="C27" i="40"/>
  <c r="G54" i="51"/>
  <c r="G81" i="64"/>
  <c r="C30" i="40"/>
  <c r="G83" i="51" l="1"/>
  <c r="C5" i="53"/>
  <c r="K52" i="42"/>
  <c r="D27" i="40"/>
  <c r="D23" i="40"/>
  <c r="D30" i="40"/>
  <c r="G81" i="51" l="1"/>
  <c r="E28" i="39" l="1"/>
  <c r="G28" i="39" s="1"/>
  <c r="E25" i="42"/>
  <c r="H28" i="39" l="1"/>
  <c r="F28" i="39"/>
  <c r="F25" i="42"/>
  <c r="Q25" i="42" l="1"/>
  <c r="N25" i="42"/>
  <c r="H33" i="64" l="1"/>
  <c r="L33" i="64" l="1"/>
  <c r="K33" i="64"/>
  <c r="H32" i="51"/>
  <c r="J32" i="51" s="1"/>
  <c r="L32" i="51"/>
  <c r="N28" i="39"/>
  <c r="O28" i="39" s="1"/>
  <c r="E27" i="39"/>
  <c r="G27" i="39" s="1"/>
  <c r="E24" i="42"/>
  <c r="M33" i="64" l="1"/>
  <c r="O33" i="64"/>
  <c r="N33" i="64"/>
  <c r="P28" i="39"/>
  <c r="F24" i="42"/>
  <c r="G24" i="42" s="1"/>
  <c r="L25" i="42"/>
  <c r="M25" i="42" s="1"/>
  <c r="R25" i="42" s="1"/>
  <c r="H27" i="39"/>
  <c r="F27" i="39"/>
  <c r="N24" i="42" l="1"/>
  <c r="P33" i="64"/>
  <c r="D52" i="51" l="1"/>
  <c r="K52" i="51" s="1"/>
  <c r="E47" i="42"/>
  <c r="E48" i="39"/>
  <c r="G48" i="39" s="1"/>
  <c r="D39" i="64" l="1"/>
  <c r="J39" i="64" s="1"/>
  <c r="E32" i="42"/>
  <c r="I52" i="51"/>
  <c r="D41" i="51"/>
  <c r="E33" i="39"/>
  <c r="G33" i="39" s="1"/>
  <c r="D37" i="64" l="1"/>
  <c r="J37" i="64" s="1"/>
  <c r="I39" i="64"/>
  <c r="D37" i="51"/>
  <c r="K37" i="51" s="1"/>
  <c r="K41" i="51"/>
  <c r="I41" i="51"/>
  <c r="F37" i="64"/>
  <c r="F32" i="42"/>
  <c r="H33" i="39"/>
  <c r="F33" i="39"/>
  <c r="E31" i="39"/>
  <c r="G31" i="39" s="1"/>
  <c r="D39" i="51"/>
  <c r="I37" i="51" l="1"/>
  <c r="I37" i="64"/>
  <c r="D48" i="64"/>
  <c r="J48" i="64" s="1"/>
  <c r="E46" i="39"/>
  <c r="G46" i="39" s="1"/>
  <c r="D50" i="51"/>
  <c r="H31" i="39"/>
  <c r="F31" i="39"/>
  <c r="F47" i="42"/>
  <c r="F48" i="39"/>
  <c r="H48" i="39"/>
  <c r="K39" i="51"/>
  <c r="I39" i="51"/>
  <c r="N32" i="42"/>
  <c r="G32" i="42"/>
  <c r="I48" i="64" l="1"/>
  <c r="F48" i="64"/>
  <c r="L33" i="39"/>
  <c r="F41" i="51"/>
  <c r="I32" i="42"/>
  <c r="O32" i="42" s="1"/>
  <c r="J33" i="39"/>
  <c r="K33" i="39" s="1"/>
  <c r="G8" i="46"/>
  <c r="P8" i="46" s="1"/>
  <c r="G47" i="42"/>
  <c r="Q47" i="42"/>
  <c r="N47" i="42"/>
  <c r="O47" i="42" s="1"/>
  <c r="K50" i="51"/>
  <c r="I50" i="51"/>
  <c r="H46" i="39"/>
  <c r="F46" i="39"/>
  <c r="F50" i="51" l="1"/>
  <c r="J46" i="39"/>
  <c r="K46" i="39" s="1"/>
  <c r="L46" i="39"/>
  <c r="F37" i="51"/>
  <c r="J32" i="42"/>
  <c r="P32" i="42"/>
  <c r="Q32" i="42" s="1"/>
  <c r="J31" i="39"/>
  <c r="K31" i="39" s="1"/>
  <c r="F39" i="51"/>
  <c r="L31" i="39"/>
  <c r="I8" i="46"/>
  <c r="K8" i="46"/>
  <c r="J8" i="46"/>
  <c r="M8" i="46" l="1"/>
  <c r="O13" i="46" s="1"/>
  <c r="L8" i="46"/>
  <c r="H9" i="46"/>
  <c r="I9" i="46" s="1"/>
  <c r="H50" i="64" l="1"/>
  <c r="H50" i="51"/>
  <c r="J50" i="51" s="1"/>
  <c r="H39" i="64"/>
  <c r="L9" i="46"/>
  <c r="Q9" i="46" s="1"/>
  <c r="M9" i="46"/>
  <c r="N9" i="46"/>
  <c r="H52" i="51"/>
  <c r="N48" i="39"/>
  <c r="L50" i="51" l="1"/>
  <c r="L50" i="64"/>
  <c r="K50" i="64"/>
  <c r="L39" i="64"/>
  <c r="K39" i="64"/>
  <c r="H48" i="64"/>
  <c r="N46" i="39"/>
  <c r="M50" i="64"/>
  <c r="L47" i="42"/>
  <c r="M47" i="42" s="1"/>
  <c r="R47" i="42" s="1"/>
  <c r="O48" i="39"/>
  <c r="P48" i="39"/>
  <c r="J52" i="51"/>
  <c r="L52" i="51"/>
  <c r="H41" i="51"/>
  <c r="H37" i="64"/>
  <c r="N33" i="39"/>
  <c r="E8" i="40"/>
  <c r="L37" i="64" l="1"/>
  <c r="K37" i="64"/>
  <c r="K48" i="64"/>
  <c r="L48" i="64"/>
  <c r="P46" i="39"/>
  <c r="O46" i="39"/>
  <c r="N50" i="64"/>
  <c r="O50" i="64"/>
  <c r="P50" i="64"/>
  <c r="H37" i="51"/>
  <c r="L37" i="51" s="1"/>
  <c r="L32" i="42"/>
  <c r="M32" i="42" s="1"/>
  <c r="R32" i="42" s="1"/>
  <c r="H39" i="51"/>
  <c r="N31" i="39"/>
  <c r="L41" i="51"/>
  <c r="J41" i="51"/>
  <c r="G8" i="40"/>
  <c r="H8" i="40"/>
  <c r="O33" i="39"/>
  <c r="P33" i="39"/>
  <c r="J37" i="51" l="1"/>
  <c r="P48" i="64"/>
  <c r="M48" i="64"/>
  <c r="M39" i="64"/>
  <c r="N48" i="64"/>
  <c r="O48" i="64"/>
  <c r="P39" i="64"/>
  <c r="P31" i="39"/>
  <c r="O31" i="39"/>
  <c r="L39" i="51"/>
  <c r="J39" i="51"/>
  <c r="F57" i="42"/>
  <c r="Q57" i="42" s="1"/>
  <c r="H57" i="39"/>
  <c r="F57" i="39"/>
  <c r="O37" i="64" l="1"/>
  <c r="O39" i="64"/>
  <c r="N37" i="64"/>
  <c r="N39" i="64"/>
  <c r="P37" i="64"/>
  <c r="M37" i="64"/>
  <c r="F54" i="64"/>
  <c r="F54" i="39"/>
  <c r="N57" i="42"/>
  <c r="O57" i="42" s="1"/>
  <c r="E57" i="39"/>
  <c r="G57" i="39" s="1"/>
  <c r="H54" i="39"/>
  <c r="D58" i="51"/>
  <c r="G57" i="42"/>
  <c r="E57" i="42"/>
  <c r="D54" i="64" l="1"/>
  <c r="J54" i="64" s="1"/>
  <c r="D56" i="51"/>
  <c r="E54" i="39"/>
  <c r="G54" i="39" s="1"/>
  <c r="I58" i="51"/>
  <c r="K58" i="51"/>
  <c r="I54" i="64" l="1"/>
  <c r="K56" i="51"/>
  <c r="I56" i="51"/>
  <c r="L54" i="39"/>
  <c r="J54" i="39"/>
  <c r="K54" i="39" s="1"/>
  <c r="F56" i="51"/>
  <c r="H56" i="64" l="1"/>
  <c r="K56" i="64"/>
  <c r="L56" i="64"/>
  <c r="E13" i="40"/>
  <c r="N57" i="39"/>
  <c r="H58" i="51"/>
  <c r="H54" i="64" l="1"/>
  <c r="O57" i="39"/>
  <c r="P57" i="39"/>
  <c r="E16" i="40"/>
  <c r="F13" i="40" s="1"/>
  <c r="G13" i="40"/>
  <c r="H13" i="40"/>
  <c r="L57" i="42"/>
  <c r="M57" i="42" s="1"/>
  <c r="R57" i="42" s="1"/>
  <c r="L58" i="51"/>
  <c r="J58" i="51"/>
  <c r="N54" i="39"/>
  <c r="H56" i="51"/>
  <c r="M56" i="64" l="1"/>
  <c r="P56" i="64"/>
  <c r="L54" i="64"/>
  <c r="K54" i="64"/>
  <c r="G16" i="40"/>
  <c r="F9" i="40"/>
  <c r="F16" i="40" s="1"/>
  <c r="H16" i="40"/>
  <c r="L56" i="51"/>
  <c r="J56" i="51"/>
  <c r="O54" i="39"/>
  <c r="P54" i="39"/>
  <c r="F64" i="42"/>
  <c r="N64" i="42" s="1"/>
  <c r="O64" i="42" s="1"/>
  <c r="H64" i="39"/>
  <c r="F64" i="39"/>
  <c r="D66" i="64" l="1"/>
  <c r="N54" i="64"/>
  <c r="N56" i="64"/>
  <c r="P54" i="64"/>
  <c r="M54" i="64"/>
  <c r="O54" i="64"/>
  <c r="O56" i="64"/>
  <c r="D68" i="64"/>
  <c r="J68" i="64" s="1"/>
  <c r="D69" i="51"/>
  <c r="K69" i="51" s="1"/>
  <c r="Q64" i="42"/>
  <c r="H53" i="39"/>
  <c r="G64" i="42"/>
  <c r="E64" i="39"/>
  <c r="G64" i="39" s="1"/>
  <c r="F53" i="39"/>
  <c r="E64" i="42"/>
  <c r="F53" i="42"/>
  <c r="J66" i="64" l="1"/>
  <c r="I66" i="64"/>
  <c r="D53" i="64"/>
  <c r="J53" i="64" s="1"/>
  <c r="I68" i="64"/>
  <c r="D55" i="51"/>
  <c r="I55" i="51" s="1"/>
  <c r="I69" i="51"/>
  <c r="E53" i="39"/>
  <c r="G53" i="39" s="1"/>
  <c r="E53" i="42"/>
  <c r="N53" i="42"/>
  <c r="G53" i="42"/>
  <c r="K55" i="51" l="1"/>
  <c r="I53" i="64"/>
  <c r="H68" i="64" l="1"/>
  <c r="L68" i="64" l="1"/>
  <c r="K68" i="64"/>
  <c r="L63" i="39" l="1"/>
  <c r="J63" i="39"/>
  <c r="K63" i="39" s="1"/>
  <c r="F68" i="51"/>
  <c r="I63" i="42"/>
  <c r="J63" i="42" l="1"/>
  <c r="P63" i="42"/>
  <c r="E9" i="43" l="1"/>
  <c r="F14" i="42"/>
  <c r="N14" i="42" s="1"/>
  <c r="O14" i="42" s="1"/>
  <c r="F17" i="39"/>
  <c r="H17" i="39"/>
  <c r="D20" i="64" l="1"/>
  <c r="J20" i="64" s="1"/>
  <c r="G14" i="42"/>
  <c r="D20" i="51"/>
  <c r="I20" i="51" s="1"/>
  <c r="E14" i="42"/>
  <c r="E17" i="39"/>
  <c r="G17" i="39" s="1"/>
  <c r="H20" i="64" l="1"/>
  <c r="L20" i="64" s="1"/>
  <c r="K20" i="51"/>
  <c r="D12" i="64"/>
  <c r="J12" i="64" s="1"/>
  <c r="K20" i="64"/>
  <c r="I20" i="64"/>
  <c r="N17" i="39" l="1"/>
  <c r="P17" i="39" s="1"/>
  <c r="H20" i="51"/>
  <c r="L20" i="51" s="1"/>
  <c r="I12" i="64"/>
  <c r="O17" i="39"/>
  <c r="L14" i="42"/>
  <c r="M14" i="42" s="1"/>
  <c r="R14" i="42" s="1"/>
  <c r="M20" i="64" l="1"/>
  <c r="J20" i="51"/>
  <c r="P20" i="64"/>
  <c r="F12" i="39"/>
  <c r="F15" i="42"/>
  <c r="G15" i="42" s="1"/>
  <c r="F18" i="39"/>
  <c r="H18" i="39"/>
  <c r="O20" i="64" l="1"/>
  <c r="N20" i="64"/>
  <c r="H12" i="39"/>
  <c r="E12" i="39"/>
  <c r="G12" i="39" s="1"/>
  <c r="D12" i="51"/>
  <c r="E9" i="42"/>
  <c r="N15" i="42"/>
  <c r="O15" i="42" s="1"/>
  <c r="D21" i="51"/>
  <c r="F9" i="42"/>
  <c r="E18" i="39"/>
  <c r="G18" i="39" s="1"/>
  <c r="E15" i="42"/>
  <c r="I12" i="51" l="1"/>
  <c r="K12" i="51"/>
  <c r="G9" i="42"/>
  <c r="N9" i="42"/>
  <c r="K21" i="51"/>
  <c r="I21" i="51"/>
  <c r="H21" i="64" l="1"/>
  <c r="L21" i="64" s="1"/>
  <c r="H21" i="51"/>
  <c r="N18" i="39"/>
  <c r="K21" i="64" l="1"/>
  <c r="L21" i="51"/>
  <c r="J21" i="51"/>
  <c r="O18" i="39"/>
  <c r="P18" i="39"/>
  <c r="L15" i="42"/>
  <c r="M15" i="42" s="1"/>
  <c r="R15" i="42" s="1"/>
  <c r="F32" i="64" l="1"/>
  <c r="P21" i="64"/>
  <c r="M21" i="64"/>
  <c r="F12" i="64"/>
  <c r="L27" i="39"/>
  <c r="F31" i="51"/>
  <c r="I24" i="42"/>
  <c r="J27" i="39"/>
  <c r="K27" i="39" s="1"/>
  <c r="O21" i="64" l="1"/>
  <c r="N21" i="64"/>
  <c r="F12" i="51"/>
  <c r="I9" i="42"/>
  <c r="J9" i="42" s="1"/>
  <c r="J12" i="39"/>
  <c r="K12" i="39" s="1"/>
  <c r="L12" i="39"/>
  <c r="J24" i="42"/>
  <c r="O24" i="42"/>
  <c r="O9" i="42" s="1"/>
  <c r="B7" i="43" s="1"/>
  <c r="P24" i="42"/>
  <c r="Q24" i="42" l="1"/>
  <c r="Q9" i="42" s="1"/>
  <c r="B8" i="43" s="1"/>
  <c r="B10" i="43" s="1"/>
  <c r="P9" i="42"/>
  <c r="H32" i="64"/>
  <c r="L32" i="64" l="1"/>
  <c r="K32" i="64"/>
  <c r="H31" i="51"/>
  <c r="N27" i="39"/>
  <c r="P32" i="64" l="1"/>
  <c r="L24" i="42"/>
  <c r="M24" i="42" s="1"/>
  <c r="R24" i="42" s="1"/>
  <c r="R9" i="42" s="1"/>
  <c r="B9" i="43" s="1"/>
  <c r="P27" i="39"/>
  <c r="O27" i="39"/>
  <c r="J31" i="51"/>
  <c r="L31" i="51"/>
  <c r="H12" i="64"/>
  <c r="N12" i="64" l="1"/>
  <c r="N32" i="64"/>
  <c r="M12" i="64"/>
  <c r="M32" i="64"/>
  <c r="O12" i="64"/>
  <c r="O32" i="64"/>
  <c r="K12" i="64"/>
  <c r="L12" i="64"/>
  <c r="E6" i="40"/>
  <c r="N12" i="39"/>
  <c r="H12" i="51"/>
  <c r="P12" i="64" l="1"/>
  <c r="O12" i="39"/>
  <c r="P12" i="39"/>
  <c r="L9" i="42"/>
  <c r="M9" i="42" s="1"/>
  <c r="H6" i="40"/>
  <c r="G6" i="40"/>
  <c r="J12" i="51"/>
  <c r="L12" i="51"/>
  <c r="H69" i="51" l="1"/>
  <c r="N64" i="39"/>
  <c r="L53" i="42"/>
  <c r="O64" i="39" l="1"/>
  <c r="L63" i="42"/>
  <c r="H81" i="51" l="1"/>
  <c r="L81" i="51" l="1"/>
  <c r="J81" i="51"/>
  <c r="G55" i="51"/>
  <c r="G51" i="64"/>
  <c r="G53" i="51" l="1"/>
  <c r="K53" i="42"/>
  <c r="M53" i="42" s="1"/>
  <c r="C15" i="40"/>
  <c r="D12" i="40" s="1"/>
  <c r="P64" i="39"/>
  <c r="G69" i="51"/>
  <c r="P68" i="64" l="1"/>
  <c r="M68" i="64"/>
  <c r="G67" i="51"/>
  <c r="D5" i="40"/>
  <c r="D8" i="40"/>
  <c r="K61" i="42"/>
  <c r="D6" i="40"/>
  <c r="C20" i="40"/>
  <c r="K63" i="42"/>
  <c r="M63" i="42" s="1"/>
  <c r="L69" i="51"/>
  <c r="J69" i="51"/>
  <c r="N68" i="64" l="1"/>
  <c r="O68" i="64"/>
  <c r="D15" i="40"/>
  <c r="E8" i="43" l="1"/>
  <c r="E63" i="39"/>
  <c r="G63" i="39" s="1"/>
  <c r="E63" i="42"/>
  <c r="D68" i="51"/>
  <c r="K68" i="51" s="1"/>
  <c r="F63" i="39" l="1"/>
  <c r="D52" i="64"/>
  <c r="J52" i="64" s="1"/>
  <c r="D51" i="64"/>
  <c r="J51" i="64" s="1"/>
  <c r="E52" i="42"/>
  <c r="D54" i="51"/>
  <c r="I68" i="51"/>
  <c r="E52" i="39"/>
  <c r="G52" i="39" s="1"/>
  <c r="H63" i="39"/>
  <c r="F63" i="42"/>
  <c r="I51" i="64" l="1"/>
  <c r="I52" i="64"/>
  <c r="I54" i="51"/>
  <c r="K54" i="51"/>
  <c r="E51" i="39"/>
  <c r="G51" i="39" s="1"/>
  <c r="D53" i="51"/>
  <c r="F52" i="39"/>
  <c r="H52" i="39"/>
  <c r="F52" i="42"/>
  <c r="N63" i="42"/>
  <c r="O63" i="42" s="1"/>
  <c r="G63" i="42"/>
  <c r="Q63" i="42"/>
  <c r="F52" i="64"/>
  <c r="E62" i="39" l="1"/>
  <c r="G62" i="39" s="1"/>
  <c r="D67" i="51"/>
  <c r="F51" i="39"/>
  <c r="I53" i="51"/>
  <c r="K53" i="51"/>
  <c r="L52" i="39"/>
  <c r="J52" i="39"/>
  <c r="K52" i="39" s="1"/>
  <c r="G6" i="46"/>
  <c r="F54" i="51"/>
  <c r="I52" i="42"/>
  <c r="R63" i="42"/>
  <c r="G52" i="42"/>
  <c r="N52" i="42"/>
  <c r="P6" i="46" l="1"/>
  <c r="O6" i="46" s="1"/>
  <c r="K6" i="46"/>
  <c r="J6" i="46"/>
  <c r="H62" i="39"/>
  <c r="H51" i="39"/>
  <c r="J52" i="42"/>
  <c r="P52" i="42"/>
  <c r="Q52" i="42" s="1"/>
  <c r="O52" i="42"/>
  <c r="F62" i="39"/>
  <c r="F66" i="64"/>
  <c r="H78" i="64" l="1"/>
  <c r="L78" i="64" s="1"/>
  <c r="H67" i="64"/>
  <c r="S6" i="46"/>
  <c r="T6" i="46" s="1"/>
  <c r="R6" i="46"/>
  <c r="L67" i="64"/>
  <c r="K67" i="64"/>
  <c r="Q29" i="42"/>
  <c r="D8" i="43"/>
  <c r="H66" i="64"/>
  <c r="H68" i="51"/>
  <c r="H52" i="64"/>
  <c r="N63" i="39"/>
  <c r="O29" i="42"/>
  <c r="D7" i="43"/>
  <c r="E5" i="53"/>
  <c r="D5" i="53"/>
  <c r="L62" i="39"/>
  <c r="J62" i="39"/>
  <c r="K62" i="39" s="1"/>
  <c r="F67" i="51"/>
  <c r="L66" i="64" l="1"/>
  <c r="K66" i="64"/>
  <c r="K78" i="64"/>
  <c r="L52" i="64"/>
  <c r="K52" i="64"/>
  <c r="E7" i="43"/>
  <c r="E10" i="43" s="1"/>
  <c r="D10" i="43"/>
  <c r="L68" i="51"/>
  <c r="J68" i="51"/>
  <c r="H67" i="51"/>
  <c r="N62" i="39"/>
  <c r="O63" i="39"/>
  <c r="P63" i="39"/>
  <c r="H80" i="51"/>
  <c r="H81" i="64"/>
  <c r="E27" i="40"/>
  <c r="H54" i="51"/>
  <c r="N52" i="39"/>
  <c r="H83" i="51"/>
  <c r="P67" i="64" l="1"/>
  <c r="M67" i="64"/>
  <c r="L81" i="64"/>
  <c r="K81" i="64"/>
  <c r="L83" i="51"/>
  <c r="J83" i="51"/>
  <c r="O62" i="39"/>
  <c r="P62" i="39"/>
  <c r="L80" i="51"/>
  <c r="J80" i="51"/>
  <c r="M66" i="64"/>
  <c r="L61" i="42"/>
  <c r="M61" i="42" s="1"/>
  <c r="R61" i="42" s="1"/>
  <c r="O52" i="39"/>
  <c r="P52" i="39"/>
  <c r="H27" i="40"/>
  <c r="G27" i="40"/>
  <c r="E30" i="40"/>
  <c r="F27" i="40" s="1"/>
  <c r="L54" i="51"/>
  <c r="J54" i="51"/>
  <c r="L52" i="42"/>
  <c r="M52" i="42" s="1"/>
  <c r="O67" i="64" l="1"/>
  <c r="N67" i="64"/>
  <c r="N52" i="64"/>
  <c r="P66" i="64"/>
  <c r="P52" i="64"/>
  <c r="M52" i="64"/>
  <c r="O66" i="64"/>
  <c r="O52" i="64"/>
  <c r="N66" i="64"/>
  <c r="F30" i="40"/>
  <c r="F23" i="40"/>
  <c r="G30" i="40"/>
  <c r="H30" i="40"/>
  <c r="M29" i="42"/>
  <c r="R52" i="42"/>
  <c r="M81" i="64" l="1"/>
  <c r="D9" i="43"/>
  <c r="R29" i="42"/>
  <c r="F63" i="51"/>
  <c r="F58" i="64"/>
  <c r="J53" i="39" l="1"/>
  <c r="K53" i="39" s="1"/>
  <c r="G5" i="46"/>
  <c r="F57" i="64"/>
  <c r="F62" i="51"/>
  <c r="F53" i="64"/>
  <c r="L53" i="39"/>
  <c r="I53" i="42"/>
  <c r="F55" i="51"/>
  <c r="F53" i="51" l="1"/>
  <c r="F51" i="64"/>
  <c r="J51" i="39"/>
  <c r="K51" i="39" s="1"/>
  <c r="L51" i="39"/>
  <c r="J53" i="42"/>
  <c r="P53" i="42"/>
  <c r="Q53" i="42" s="1"/>
  <c r="O53" i="42"/>
  <c r="I5" i="46"/>
  <c r="K5" i="46"/>
  <c r="J5" i="46"/>
  <c r="P5" i="46"/>
  <c r="R53" i="42" l="1"/>
  <c r="L5" i="46"/>
  <c r="M5" i="46"/>
  <c r="O12" i="46" s="1"/>
  <c r="H6" i="46"/>
  <c r="I6" i="46" s="1"/>
  <c r="H63" i="51"/>
  <c r="J63" i="51" s="1"/>
  <c r="H58" i="64"/>
  <c r="K58" i="64" s="1"/>
  <c r="M6" i="46" l="1"/>
  <c r="L6" i="46"/>
  <c r="Q6" i="46" s="1"/>
  <c r="N6" i="46"/>
  <c r="H62" i="51"/>
  <c r="J62" i="51" s="1"/>
  <c r="H57" i="64"/>
  <c r="K57" i="64" s="1"/>
  <c r="H53" i="64"/>
  <c r="N53" i="39"/>
  <c r="E12" i="40"/>
  <c r="H55" i="51"/>
  <c r="H79" i="51"/>
  <c r="H77" i="64"/>
  <c r="E21" i="40"/>
  <c r="L77" i="64" l="1"/>
  <c r="K77" i="64"/>
  <c r="H78" i="51"/>
  <c r="H21" i="40"/>
  <c r="G21" i="40"/>
  <c r="E15" i="40"/>
  <c r="F12" i="40" s="1"/>
  <c r="G12" i="40"/>
  <c r="G15" i="40" s="1"/>
  <c r="H12" i="40"/>
  <c r="K53" i="64"/>
  <c r="L53" i="64"/>
  <c r="J55" i="51"/>
  <c r="L55" i="51"/>
  <c r="M57" i="64"/>
  <c r="M58" i="64"/>
  <c r="P53" i="64"/>
  <c r="H53" i="51"/>
  <c r="N51" i="39"/>
  <c r="H51" i="64"/>
  <c r="P53" i="39"/>
  <c r="O53" i="39"/>
  <c r="J79" i="51"/>
  <c r="L79" i="51"/>
  <c r="P58" i="64"/>
  <c r="H80" i="64"/>
  <c r="H82" i="51"/>
  <c r="D4" i="53"/>
  <c r="P57" i="64" l="1"/>
  <c r="I3" i="40"/>
  <c r="H83" i="64"/>
  <c r="E4" i="53"/>
  <c r="L82" i="51"/>
  <c r="J82" i="51"/>
  <c r="N57" i="64"/>
  <c r="N58" i="64"/>
  <c r="L51" i="64"/>
  <c r="K51" i="64"/>
  <c r="O57" i="64"/>
  <c r="O58" i="64"/>
  <c r="M51" i="64"/>
  <c r="M53" i="64"/>
  <c r="L80" i="64"/>
  <c r="K80" i="64"/>
  <c r="O51" i="39"/>
  <c r="P51" i="39"/>
  <c r="F8" i="40"/>
  <c r="F5" i="40"/>
  <c r="F6" i="40"/>
  <c r="E20" i="40"/>
  <c r="H15" i="40"/>
  <c r="J78" i="51"/>
  <c r="L78" i="51"/>
  <c r="L53" i="51"/>
  <c r="J53" i="51"/>
  <c r="P80" i="64" l="1"/>
  <c r="M80" i="64"/>
  <c r="P51" i="64"/>
  <c r="G20" i="40"/>
  <c r="H20" i="40"/>
  <c r="O53" i="64"/>
  <c r="O51" i="64"/>
  <c r="O80" i="64"/>
  <c r="N51" i="64"/>
  <c r="N80" i="64"/>
  <c r="N53" i="64"/>
  <c r="F15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6" authorId="0" shapeId="0" xr:uid="{ED16B21B-5378-4B6D-87CE-8A809A615EB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550 р -прием гинеколога, углубленное консультирование - -818. Таким образом на угл конс в рамкаха приема добавляем 300р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Пятунин Игорь Михайлович</author>
  </authors>
  <commentList>
    <comment ref="A89" authorId="0" shapeId="0" xr:uid="{A7C91ED2-87AE-49C6-97B7-A8F0D0A1D4EC}">
      <text>
        <r>
          <rPr>
            <b/>
            <sz val="9"/>
            <color indexed="81"/>
            <rFont val="Tahoma"/>
            <family val="2"/>
            <charset val="204"/>
          </rPr>
          <t>Пятунин Игорь Михайлович: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20"/>
            <color indexed="81"/>
            <rFont val="Tahoma"/>
            <family val="2"/>
            <charset val="204"/>
          </rPr>
          <t>Справочно вручную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Веселов Никита Сергеевич</author>
  </authors>
  <commentList>
    <comment ref="B3" authorId="0" shapeId="0" xr:uid="{12E7BAEC-FEEF-4C5F-9870-E755A6A1729C}">
      <text>
        <r>
          <rPr>
            <b/>
            <sz val="9"/>
            <color indexed="81"/>
            <rFont val="Tahoma"/>
            <family val="2"/>
            <charset val="204"/>
          </rPr>
          <t>Веселов Никита Сергеевич:</t>
        </r>
        <r>
          <rPr>
            <sz val="9"/>
            <color indexed="81"/>
            <rFont val="Tahoma"/>
            <family val="2"/>
            <charset val="204"/>
          </rPr>
          <t xml:space="preserve">
с учетом "дорост 2024"</t>
        </r>
      </text>
    </comment>
    <comment ref="C6" authorId="0" shapeId="0" xr:uid="{49A4E4BF-5165-4523-B3BC-3A6FC5DE9455}">
      <text>
        <r>
          <rPr>
            <b/>
            <sz val="9"/>
            <color indexed="81"/>
            <rFont val="Tahoma"/>
            <family val="2"/>
            <charset val="204"/>
          </rPr>
          <t>Веселов Никита Сергеевич:</t>
        </r>
        <r>
          <rPr>
            <sz val="9"/>
            <color indexed="81"/>
            <rFont val="Tahoma"/>
            <family val="2"/>
            <charset val="204"/>
          </rPr>
          <t xml:space="preserve">
округляем до 3 знаков после запятой аналогично расчету этих коэф на 2024 год</t>
        </r>
      </text>
    </comment>
    <comment ref="P6" authorId="0" shapeId="0" xr:uid="{C06BF348-1852-45E2-9E28-6EA031C27210}">
      <text>
        <r>
          <rPr>
            <b/>
            <sz val="9"/>
            <color indexed="81"/>
            <rFont val="Tahoma"/>
            <family val="2"/>
            <charset val="204"/>
          </rPr>
          <t>Веселов Никита Сергеевич:</t>
        </r>
        <r>
          <rPr>
            <sz val="9"/>
            <color indexed="81"/>
            <rFont val="Tahoma"/>
            <family val="2"/>
            <charset val="204"/>
          </rPr>
          <t xml:space="preserve">
округление коэффициентов ФГУ до 7 знаков гарантирует совпадение БС до копейки.
Или можно от него отказаться и сделать ссылку на 4 приложение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Веселов Никита Сергеевич</author>
  </authors>
  <commentList>
    <comment ref="U33" authorId="0" shapeId="0" xr:uid="{CEE9E856-518A-41AF-A489-6147E8D7D096}">
      <text>
        <r>
          <rPr>
            <b/>
            <sz val="9"/>
            <color indexed="81"/>
            <rFont val="Tahoma"/>
            <family val="2"/>
            <charset val="204"/>
          </rPr>
          <t>Веселов Никита Сергеевич:</t>
        </r>
        <r>
          <rPr>
            <sz val="9"/>
            <color indexed="81"/>
            <rFont val="Tahoma"/>
            <family val="2"/>
            <charset val="204"/>
          </rPr>
          <t xml:space="preserve">
+25,575 тыс. чел. в 2023-2024 гг.</t>
        </r>
      </text>
    </comment>
  </commentList>
</comments>
</file>

<file path=xl/sharedStrings.xml><?xml version="1.0" encoding="utf-8"?>
<sst xmlns="http://schemas.openxmlformats.org/spreadsheetml/2006/main" count="2389" uniqueCount="990">
  <si>
    <t>Раздел II. Формирование и выполнение территориальной программы государственных гарантий бесплатного оказания гражданам медицинской помощи</t>
  </si>
  <si>
    <t>(2000)</t>
  </si>
  <si>
    <t>Объемы финансирования медицинской помощи – всего (сумма строк 04, 05, 42, 54, 62, 63), в том числе:</t>
  </si>
  <si>
    <t>руб</t>
  </si>
  <si>
    <t>скорая, в том числе скорая специализированная медицинская помощь, оказанная вне медицинской организации</t>
  </si>
  <si>
    <t>вызовов</t>
  </si>
  <si>
    <t>ед</t>
  </si>
  <si>
    <t>лиц, которым ока-зана медицинская помощь</t>
  </si>
  <si>
    <t>чел</t>
  </si>
  <si>
    <t>медицинская помощь, оказанная в ам-булаторных условиях, всего (сумма строк 07, 21, 23, 39), из них:</t>
  </si>
  <si>
    <t>с профилактической и иными целями, всего, из них:</t>
  </si>
  <si>
    <t>посещений</t>
  </si>
  <si>
    <t>паллиативная медицинская помощь, в том числе на дому</t>
  </si>
  <si>
    <t>паллиативная медицинская помощь, осуществляемая на дому выездными патронажными бригадами</t>
  </si>
  <si>
    <t>профилактические медицинские осмотры</t>
  </si>
  <si>
    <t>комплексных посещений</t>
  </si>
  <si>
    <t>диспансеризация (1-й этап), всего, в том числе:</t>
  </si>
  <si>
    <t>углубленная диспансеризация</t>
  </si>
  <si>
    <t>с иными целями</t>
  </si>
  <si>
    <t>в неотложной форме</t>
  </si>
  <si>
    <t>в связи с заболеваниями, в том числе:</t>
  </si>
  <si>
    <t>обращений1</t>
  </si>
  <si>
    <t>компьютерная томография</t>
  </si>
  <si>
    <t>исследований</t>
  </si>
  <si>
    <t>магнитно-резонансное томография</t>
  </si>
  <si>
    <t>ультразвуковое исследование сердечно-сосудистой системы</t>
  </si>
  <si>
    <t>эндоскопические диагностические исследования</t>
  </si>
  <si>
    <t>молекулярно-генетические исследования</t>
  </si>
  <si>
    <t>патологоанатомическое исследование биопсийного (операционного) материала</t>
  </si>
  <si>
    <t>тестирование на выявление новой коронавирусной инфекции (COVID-19)</t>
  </si>
  <si>
    <t>обращение по заболеванию при оказании медицинской помощи по профилю «Медицинская реабилитация»</t>
  </si>
  <si>
    <t>специализированная медицинская помощь, оказанная в стационарных условиях, всего, из них:</t>
  </si>
  <si>
    <t>койко-дней</t>
  </si>
  <si>
    <t>случаев госпитализации</t>
  </si>
  <si>
    <t>медицинская реабилитация</t>
  </si>
  <si>
    <t>в том числе: медицинская реабилитация детям от 0 до 17 лет</t>
  </si>
  <si>
    <t>по профилю «онкология»</t>
  </si>
  <si>
    <t>медицинская помощь в условиях дневного стационара, всего, из них:</t>
  </si>
  <si>
    <t>пациенто-дней</t>
  </si>
  <si>
    <t>случаев лечения</t>
  </si>
  <si>
    <t>при экстракорпоральном оплодотворении</t>
  </si>
  <si>
    <t>случаев</t>
  </si>
  <si>
    <t>паллиативная медицинская помощь в стационарных условиях</t>
  </si>
  <si>
    <t>прочие виды медицинских и иных услуг</t>
  </si>
  <si>
    <t>из них: расходы на транспортировку пациентов</t>
  </si>
  <si>
    <t>* Одно обращение в связи с заболеванием включает кратность посещений по данному заболеванию (два и более).</t>
  </si>
  <si>
    <r>
      <t>(2065)</t>
    </r>
    <r>
      <rPr>
        <sz val="8"/>
        <rFont val="Times New Roman"/>
        <family val="1"/>
        <charset val="204"/>
      </rPr>
      <t xml:space="preserve"> Утвержденная стоимость территориальной программы ОМС из средств ОМС, всего</t>
    </r>
  </si>
  <si>
    <t>2556625179777</t>
  </si>
  <si>
    <r>
      <t>(2066)</t>
    </r>
    <r>
      <rPr>
        <sz val="8"/>
        <rFont val="Times New Roman"/>
        <family val="1"/>
        <charset val="204"/>
      </rPr>
      <t xml:space="preserve"> Поступило средств ОМС в территориальный фонд ОМС.  Всего</t>
    </r>
  </si>
  <si>
    <t>2653279685908</t>
  </si>
  <si>
    <t>обязательного медицинского страхования в части базовой программы ОМС</t>
  </si>
  <si>
    <t>94676544279</t>
  </si>
  <si>
    <t xml:space="preserve"> неустановленных базовой программой ОМС </t>
  </si>
  <si>
    <t>14104819154</t>
  </si>
  <si>
    <t>(руб) (4), прочих поступлений</t>
  </si>
  <si>
    <r>
      <t>(2067)</t>
    </r>
    <r>
      <rPr>
        <sz val="8"/>
        <color rgb="FF000000"/>
        <rFont val="Times New Roman"/>
        <family val="1"/>
        <charset val="204"/>
      </rPr>
      <t xml:space="preserve"> Расходы на обеспечение выполнения территориальным фондом обязательного медицинского страхования своих функций, предусмотренных законом о бюджете территориального фонда</t>
    </r>
  </si>
  <si>
    <t>обязательного медицинского страхования по разделу 01 "Общегосударственные вопросы"</t>
  </si>
  <si>
    <t>16507015903</t>
  </si>
  <si>
    <r>
      <t xml:space="preserve">(2068) </t>
    </r>
    <r>
      <rPr>
        <sz val="8"/>
        <color rgb="FF000000"/>
        <rFont val="Times New Roman"/>
        <family val="1"/>
        <charset val="204"/>
      </rPr>
      <t>Перечислено в территориальные фонды ОМС по месту оказания медицинской помощи, всего</t>
    </r>
  </si>
  <si>
    <r>
      <t>(2069)</t>
    </r>
    <r>
      <rPr>
        <sz val="8"/>
        <rFont val="Times New Roman"/>
        <family val="1"/>
        <charset val="204"/>
      </rPr>
      <t xml:space="preserve"> Застрахованы по ОМС (на дату, установленную при формировании территориальной программы ОМС) всего</t>
    </r>
  </si>
  <si>
    <r>
      <t xml:space="preserve">(2070) </t>
    </r>
    <r>
      <rPr>
        <sz val="8"/>
        <rFont val="Times New Roman"/>
        <family val="1"/>
        <charset val="204"/>
      </rPr>
      <t xml:space="preserve">Наличие остатков средств обязательного медицинского страхования, образовавшихся на счетах медицинских организаций на 1 января отчетного года </t>
    </r>
  </si>
  <si>
    <r>
      <t xml:space="preserve">(2071) </t>
    </r>
    <r>
      <rPr>
        <sz val="8"/>
        <color rgb="FF000000"/>
        <rFont val="Times New Roman"/>
        <family val="1"/>
        <charset val="204"/>
      </rPr>
      <t xml:space="preserve">Расходы на оказание лабораторных услуг (проведение иследований), в медицинских лабораториях, являющихся самостоятельными юридическими лицами и оплачиваемых по отдельно установленным тарифам ОМС </t>
    </r>
  </si>
  <si>
    <t xml:space="preserve">расходы медицинских организаций на оказание магнитно-резонансной и компьютерной томографии, диагностических инструментальных исследований, при оказании первичной медико-санитарной помощи за счет средств ОМС, полученных от других медицинских организаций на основе взаиморасчетов </t>
  </si>
  <si>
    <t>(руб) (2) (код по ОКЕИ: рубль - 383).</t>
  </si>
  <si>
    <r>
      <t>(2072)</t>
    </r>
    <r>
      <rPr>
        <sz val="8"/>
        <color rgb="FF000000"/>
        <rFont val="Times New Roman"/>
        <family val="1"/>
        <charset val="204"/>
      </rPr>
      <t xml:space="preserve"> Установленный размер финансового обеспечения фельдшерских, фельдшерско-акушерских пунктов, обслуживающих: менее от 0 до 100 жителей </t>
    </r>
  </si>
  <si>
    <t>(руб) (3);</t>
  </si>
  <si>
    <t xml:space="preserve"> от 1500 до 2000 жителей </t>
  </si>
  <si>
    <t>803637140</t>
  </si>
  <si>
    <t xml:space="preserve">(руб) (4); от 2000 и более жителей </t>
  </si>
  <si>
    <r>
      <t>(2073)</t>
    </r>
    <r>
      <rPr>
        <sz val="8"/>
        <color rgb="FF000000"/>
        <rFont val="Times New Roman"/>
        <family val="1"/>
        <charset val="204"/>
      </rPr>
      <t xml:space="preserve"> Фактический размер финансового обеспечения фельдшерских, фельдшерско-акушерских пунктов, обслуживающих: менее от 0 до 100 жителей </t>
    </r>
  </si>
  <si>
    <t>3040130692</t>
  </si>
  <si>
    <t xml:space="preserve">(руб) (3); от 1500 до 2000 жителей </t>
  </si>
  <si>
    <r>
      <t xml:space="preserve">(2074) </t>
    </r>
    <r>
      <rPr>
        <sz val="8"/>
        <color rgb="FF000000"/>
        <rFont val="Times New Roman"/>
        <family val="1"/>
        <charset val="204"/>
      </rPr>
      <t>Размер дополнительного финансирования медицинских организаций в соответствии с решениями Правительства Российской Федерации</t>
    </r>
  </si>
  <si>
    <t xml:space="preserve"> в том числе в неотложной форме </t>
  </si>
  <si>
    <t>41903470</t>
  </si>
  <si>
    <t>(2.1);</t>
  </si>
  <si>
    <t xml:space="preserve">в условиях дневных стационаров </t>
  </si>
  <si>
    <t>1351085613</t>
  </si>
  <si>
    <t xml:space="preserve">(руб) (3); в стационарных условиях </t>
  </si>
  <si>
    <t>Утверждено</t>
  </si>
  <si>
    <t>Исполнено</t>
  </si>
  <si>
    <t>% исполнения</t>
  </si>
  <si>
    <t>Динамика исполнения к предыдущему году</t>
  </si>
  <si>
    <t>Виды и условия оказания медицинской помощи</t>
  </si>
  <si>
    <t>Единица измерения на 1 застрахованное лицо</t>
  </si>
  <si>
    <t>1. Скорая, в том числе скорая специализированная, медицинская помощь</t>
  </si>
  <si>
    <t>2. Первичная медико-санитарная помощь, за исключением медицинской реабилитации</t>
  </si>
  <si>
    <t>x</t>
  </si>
  <si>
    <t>2.1 в амбулаторных условиях, в том числе:</t>
  </si>
  <si>
    <t>2.1.2 посещения в рамках проведения диспансеризации - всего, в том числе:</t>
  </si>
  <si>
    <t>2.1.2.1 для проведения углубленной диспансеризации</t>
  </si>
  <si>
    <t>2.1.3 посещения с иными целями</t>
  </si>
  <si>
    <t>2.1.4 Посещения по неотложной помощи</t>
  </si>
  <si>
    <t>2.1.5 Обращения в связи с заболеваниями -  всего, из них:</t>
  </si>
  <si>
    <t>обращений</t>
  </si>
  <si>
    <t>2.1.5.1 проведение отдельных диагностических (лабораторных) исследований:</t>
  </si>
  <si>
    <t>2.1.5.1.1 компьютерная томография</t>
  </si>
  <si>
    <t xml:space="preserve">2.1.5.1.2 магнитно-резонансная томография </t>
  </si>
  <si>
    <t>2.1.5.1.3 ультразвуковое исследование сердечно-сосудистой системы</t>
  </si>
  <si>
    <t>2.1.5.1.4 эндоскопическое диагностическое исследование</t>
  </si>
  <si>
    <t>2.1.5.1.5 молекулярно-генетическое исследование с целью диагностики онкологических заболеваний</t>
  </si>
  <si>
    <t>2.1.5.1.6 патологоанатомическое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</si>
  <si>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>2.1.5.1.7 тестирование на выявление новой коронавирусной инфекции (COVID-19)</t>
  </si>
  <si>
    <t>2.1.6 диспансерное наблюдение</t>
  </si>
  <si>
    <t>3. В условиях дневных стационаров (первичная медико-санитарная помощь, специализированная медицинская помощь), за исключением медицинской реабилитации - всего, в том числе:</t>
  </si>
  <si>
    <t>для оказания медицинской помощи федеральными медицинскими организациями</t>
  </si>
  <si>
    <t>для оказания медицинской помощи медицинскими организациями (за исключением федеральных медицинских организаций)</t>
  </si>
  <si>
    <t>3.1 для оказания медицинской помощи по профилю "онкология" - всего, в том числе:</t>
  </si>
  <si>
    <t>федеральными медицинскими организациями</t>
  </si>
  <si>
    <t>медицинскими организациями (за исключением федеральных медицинских организаций)</t>
  </si>
  <si>
    <t>3.2 для оказания медицинской помощи при экстракорпоральном оплодотворении - всего</t>
  </si>
  <si>
    <t>4. Специализированная, в том числе высокотехнологичная, медицинская помощь в условиях круглосуточного стационара, за исключением медицинской реабилитации - всего, в том числе:</t>
  </si>
  <si>
    <t>4.1 для оказания медицинской помощи по профилю "онкология" - всего, в том числе:</t>
  </si>
  <si>
    <t>5. Медицинская реабилитация</t>
  </si>
  <si>
    <t>5.1 в амбулаторных условиях</t>
  </si>
  <si>
    <t>5.2 в условиях дневных стационаров (первичная медико-санитарная помощь, специализированная медицинская помощь) - всего, в том числе:</t>
  </si>
  <si>
    <t>5.3 Специализированная, в том числе высокотехнологичная, медицинская помощь в условиях круглосуточного стационара - всего, в том числе:</t>
  </si>
  <si>
    <t>АУП ТФОМС и РВД СМО</t>
  </si>
  <si>
    <t>ВСЕГО, в том числе:</t>
  </si>
  <si>
    <t>подушевые нормативы финансовых затрат, руб.</t>
  </si>
  <si>
    <t>Объем субвенций, тыс. руб.</t>
  </si>
  <si>
    <t>2024 проект</t>
  </si>
  <si>
    <t>Численность</t>
  </si>
  <si>
    <t>2025 проект</t>
  </si>
  <si>
    <t>на 1 застрахованное лицо/ стоимость единицы объема</t>
  </si>
  <si>
    <t>X</t>
  </si>
  <si>
    <t>4.3 Иные профили - всего</t>
  </si>
  <si>
    <t>4.2 ВМП (без онко) - всего</t>
  </si>
  <si>
    <t>для расчета субвенции</t>
  </si>
  <si>
    <t xml:space="preserve">для ФГУ </t>
  </si>
  <si>
    <t>ВСЕГО с Кдиф</t>
  </si>
  <si>
    <t>стоимость без кдиф</t>
  </si>
  <si>
    <t>-</t>
  </si>
  <si>
    <t>Норматив объема</t>
  </si>
  <si>
    <t>Раздел IX. Расходы финансовых средств из различных источников финансирования</t>
  </si>
  <si>
    <t>(9000)</t>
  </si>
  <si>
    <t xml:space="preserve">   Код по ОКЕИ: рубль – 383</t>
  </si>
  <si>
    <t xml:space="preserve">           </t>
  </si>
  <si>
    <t>Расходы</t>
  </si>
  <si>
    <t>№ стр.</t>
  </si>
  <si>
    <t>Источники финансирования по всем видам медицинской помощи - всего</t>
  </si>
  <si>
    <t xml:space="preserve">Всего по всем источникам финан-сирования 
(сумма гр. 10 и 14)
</t>
  </si>
  <si>
    <t>Источники финансирования скорой, в том числе скорой специализированной медицинской помощи (вне медицинской организации)</t>
  </si>
  <si>
    <t xml:space="preserve">Всего
по всем источникам финансирования
(сумма гр. 23 и 27)
</t>
  </si>
  <si>
    <t>Источники финансирования медицинской помощи, оказанной  в амбулаторных условиях</t>
  </si>
  <si>
    <t>Всего по всем источникам финансирования 
(сумма гр. 36 и 40)</t>
  </si>
  <si>
    <t>Источники финансирования специализированной медицинской помощи, оказанной в стационарных условиях:</t>
  </si>
  <si>
    <t>Всего по всем источникам финансирования (сумма гр. 49 и 53)</t>
  </si>
  <si>
    <r>
      <t>из них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источники финансирования медицинской реабилитации</t>
    </r>
  </si>
  <si>
    <t>Всего по всем источникам финансирования 
(сумма гр. 62 и 66)</t>
  </si>
  <si>
    <t>Источники финансирования медицинской помощи в условиях дневного стационара</t>
  </si>
  <si>
    <t xml:space="preserve">Всего 
по всем источникам финансирования (сумма гр. 75 и 79)
</t>
  </si>
  <si>
    <t>Источники финансирования паллиативной медицинской помощи в стационарных условиях</t>
  </si>
  <si>
    <t>Всего по всем источникам финансирования (сумма гр. 88 и 92)</t>
  </si>
  <si>
    <t>Источники финансирования прочих видов медицинских и иных услуг</t>
  </si>
  <si>
    <t>Всего 
по всем источникам финансирования (сумма гр. 101 и 105)</t>
  </si>
  <si>
    <t>Бюджеты всех уровней</t>
  </si>
  <si>
    <t>Государственные внебюджетные фонды</t>
  </si>
  <si>
    <t>Всего расходы 
из государ-ственных источников (сумма гр. 6 и 9)</t>
  </si>
  <si>
    <t xml:space="preserve">Внебюджетные </t>
  </si>
  <si>
    <t>Всего расходы 
из государственных источников (сумма гр. 19 и 22)</t>
  </si>
  <si>
    <t>Внебюджетные</t>
  </si>
  <si>
    <t>Всего расходы 
из государственных источников (сумма гр. 32 и 35)</t>
  </si>
  <si>
    <t>Всего расходы 
из государственных источников
 (гр. 45 и 48)</t>
  </si>
  <si>
    <t>Всего расходы 
из государственных источников (сумма гр.58 и 61)</t>
  </si>
  <si>
    <t>Всего расходы 
из государ-ственных источников (сумма гр.71 и 74)</t>
  </si>
  <si>
    <t>Всего расходы 
из государственных источников (сумма гр. 84 и 87)</t>
  </si>
  <si>
    <t xml:space="preserve">Всего расходы 
из государственных источников (сумма гр. 97 и 100)
</t>
  </si>
  <si>
    <t>федеральный бюджет</t>
  </si>
  <si>
    <t>бюджет субъекта Российской Федерации</t>
  </si>
  <si>
    <t>местный бюджет</t>
  </si>
  <si>
    <t xml:space="preserve">Всего
(сумма гр. 3, 4, 5)
</t>
  </si>
  <si>
    <t>Фонд ОМС</t>
  </si>
  <si>
    <t>Фонд социального стра-хования</t>
  </si>
  <si>
    <t>Всего (сумма гр. 7 и 8)</t>
  </si>
  <si>
    <t>домашние хозяйства (личные средства граждан)</t>
  </si>
  <si>
    <t>ДМС</t>
  </si>
  <si>
    <t>прочие источники финансирования</t>
  </si>
  <si>
    <t>Всего (сумма гр.11, 12, 13)</t>
  </si>
  <si>
    <t xml:space="preserve">Всего
(сумма гр. 16, 17, 18)
</t>
  </si>
  <si>
    <t>Фонд социального страхования</t>
  </si>
  <si>
    <t>Всего (сумма гр. 20 и
21)</t>
  </si>
  <si>
    <t xml:space="preserve">     ДМС</t>
  </si>
  <si>
    <t>Всего (сумма гр. 24, 25, 26)</t>
  </si>
  <si>
    <t>Всего
 (сумма гр. 29, 30, 31)</t>
  </si>
  <si>
    <t>Всего
 (сумма гр. 33 и 34)</t>
  </si>
  <si>
    <t>Всего (сумма гр. 37, 38, 39)</t>
  </si>
  <si>
    <t>Всего
(сумма гр. 42, 43, 44)</t>
  </si>
  <si>
    <t>Всего (сумма гр. 46 и 47)</t>
  </si>
  <si>
    <t>Всего
(сумма гр. 50,
51, 52)</t>
  </si>
  <si>
    <t>Всего 
(сумма гр. 55, 56, 57)</t>
  </si>
  <si>
    <t>Всего 
(сумма гр. 59 и 60)</t>
  </si>
  <si>
    <t>Всего 
(сумма гр. 63, 64, 65)</t>
  </si>
  <si>
    <t xml:space="preserve">Всего 
(сумма гр. 68, 
69, 70)
</t>
  </si>
  <si>
    <t>Всего 
(сумма гр. 72 и 
73)</t>
  </si>
  <si>
    <t>Всего 
(сумма гр. 76, 
77, 78)</t>
  </si>
  <si>
    <t xml:space="preserve">Всего
(сумма гр. 81, 
82, 83)
</t>
  </si>
  <si>
    <t xml:space="preserve">Всего 
(сумма гр. 85 и 
86)
</t>
  </si>
  <si>
    <t>Всего 
(сумма гр. 89, 90, 91)</t>
  </si>
  <si>
    <t>бюджет субъекта Россий-ской Федерации</t>
  </si>
  <si>
    <t>Всего
 (сумма гр. 94, 95, 96)</t>
  </si>
  <si>
    <t>Всего
(сумма гр. 98 и 99)</t>
  </si>
  <si>
    <t>Всего
(сумма гр. 102, 103, 104)</t>
  </si>
  <si>
    <t>Расходы - всего (сумма строк 02, 06, 15, 16, 17)</t>
  </si>
  <si>
    <t>1</t>
  </si>
  <si>
    <t>в том числе:Оплата труда и начисления на выплаты по оплате труда (сумма строк 03, 04, 05) в том числе:</t>
  </si>
  <si>
    <t>2</t>
  </si>
  <si>
    <t>заработная плата</t>
  </si>
  <si>
    <t>3</t>
  </si>
  <si>
    <t>прочие несоциальные выплаты персоналу в денежной и натуральной формах</t>
  </si>
  <si>
    <t>4</t>
  </si>
  <si>
    <t>начисления на выплаты по оплате труда</t>
  </si>
  <si>
    <t>5</t>
  </si>
  <si>
    <t>Оплата работ, услуг (сумма строк 07, 08, 09, 10, 11, 12, 14), в том числе:</t>
  </si>
  <si>
    <t>6</t>
  </si>
  <si>
    <t>услуги связи</t>
  </si>
  <si>
    <t>7</t>
  </si>
  <si>
    <t>транспортные услуги</t>
  </si>
  <si>
    <t>8</t>
  </si>
  <si>
    <t>коммунальные услуги</t>
  </si>
  <si>
    <t>9</t>
  </si>
  <si>
    <t>арендная плата за пользование имуществом</t>
  </si>
  <si>
    <t>10</t>
  </si>
  <si>
    <t>работы, услуги по содержаниюимущества</t>
  </si>
  <si>
    <t>11</t>
  </si>
  <si>
    <t>прочие работы, услуги, из них:</t>
  </si>
  <si>
    <t>12</t>
  </si>
  <si>
    <t>лабораторные услуги (исследования)</t>
  </si>
  <si>
    <t>13</t>
  </si>
  <si>
    <t>страхование</t>
  </si>
  <si>
    <t>14</t>
  </si>
  <si>
    <t>Социальное обеспечение</t>
  </si>
  <si>
    <t>15</t>
  </si>
  <si>
    <t>Прочие расходы</t>
  </si>
  <si>
    <t>16</t>
  </si>
  <si>
    <t>Поступление нефинансовых активов (сумма строк 18, 22, 23) в том числе:</t>
  </si>
  <si>
    <t>17</t>
  </si>
  <si>
    <t>увеличение стоимости основных средств (сумма строк 19, 20, 21), в том числе:</t>
  </si>
  <si>
    <t>18</t>
  </si>
  <si>
    <t>медицинского оборудования</t>
  </si>
  <si>
    <t>19</t>
  </si>
  <si>
    <t>медицинского инструментария</t>
  </si>
  <si>
    <t>20</t>
  </si>
  <si>
    <t>прочих основных средств</t>
  </si>
  <si>
    <t>21</t>
  </si>
  <si>
    <t>увеличение стоимости нематериальных активов</t>
  </si>
  <si>
    <t>22</t>
  </si>
  <si>
    <t>увеличение стоимости материальных запасов (сумма строк 24, 25, 26, 27, 28, 29, 30, 31) в том числе:</t>
  </si>
  <si>
    <t>23</t>
  </si>
  <si>
    <t>медикаментов и перевязочных средств</t>
  </si>
  <si>
    <t>24</t>
  </si>
  <si>
    <t>25</t>
  </si>
  <si>
    <t>продуктов питания</t>
  </si>
  <si>
    <t>26</t>
  </si>
  <si>
    <t>реактивов и химикатов, стекло и химпосуда</t>
  </si>
  <si>
    <t>27</t>
  </si>
  <si>
    <t>горюче-смазочных материалов</t>
  </si>
  <si>
    <t>28</t>
  </si>
  <si>
    <t>мягкого инвентаря</t>
  </si>
  <si>
    <t>29</t>
  </si>
  <si>
    <t>прочих материальных запасов</t>
  </si>
  <si>
    <t>30</t>
  </si>
  <si>
    <t>увеличение стоимости права пользования</t>
  </si>
  <si>
    <t>31</t>
  </si>
  <si>
    <r>
      <t>(9032)</t>
    </r>
    <r>
      <rPr>
        <sz val="8"/>
        <rFont val="Times New Roman"/>
        <family val="1"/>
        <charset val="204"/>
      </rPr>
      <t xml:space="preserve"> Штрафы, выплаченные медицинскими организациями страховым медицинским организациям, за неоказание медицинской помощи, несвоевременное оказание медицинской помощи либо оказание медицинской помощи ненадлежащего качества</t>
    </r>
  </si>
  <si>
    <t>(руб) (код по ОКЕИ: рубль - 383).</t>
  </si>
  <si>
    <r>
      <t>(9033)</t>
    </r>
    <r>
      <rPr>
        <sz val="8"/>
        <rFont val="Times New Roman"/>
        <family val="1"/>
        <charset val="204"/>
      </rPr>
      <t xml:space="preserve"> Расходы консолидированного бюджета субъекта Российской Федерации на здравоохранение, включая взносы на ОМС неработающих граждан</t>
    </r>
  </si>
  <si>
    <t>0</t>
  </si>
  <si>
    <t>(руб) (1), в том числе расходы бюджетов муниципальных образований</t>
  </si>
  <si>
    <t>(руб) (2)</t>
  </si>
  <si>
    <t>и расходы бюджета субъекта Российской Федерации</t>
  </si>
  <si>
    <t>(3) (код по ОКЕИ: рубль – 383).</t>
  </si>
  <si>
    <r>
      <t xml:space="preserve">(9034) </t>
    </r>
    <r>
      <rPr>
        <sz val="8"/>
        <rFont val="Times New Roman"/>
        <family val="1"/>
        <charset val="204"/>
      </rPr>
      <t>Расходы консолидированного бюджета субъекта Российской Федерации на обеспечение отдельных категорий граждан необходимыми лекарственными средствами</t>
    </r>
  </si>
  <si>
    <t>(руб) в соответствии с постановлением Правительства Российской Федерации от 30 июля 1994 года № 890(код по ОКЕИ: рубль-383).</t>
  </si>
  <si>
    <t>ВСЕГО</t>
  </si>
  <si>
    <t>СКОРАЯ</t>
  </si>
  <si>
    <t>АПП</t>
  </si>
  <si>
    <t>КС</t>
  </si>
  <si>
    <t>в том числе РЕАБИЛИТАЦИЯ</t>
  </si>
  <si>
    <t>ДС</t>
  </si>
  <si>
    <t>ЗП</t>
  </si>
  <si>
    <t>ПРОЧИЕ</t>
  </si>
  <si>
    <t>Основные макроэкономические параметры среднесрочного прогноза социально_x0002_экономического развития Российской Федерации до 2026 года (Базовый вариант)</t>
  </si>
  <si>
    <t>Индекс потребительских цен</t>
  </si>
  <si>
    <t>Среднемесячная начисленная
заработная плата работников организаций</t>
  </si>
  <si>
    <t xml:space="preserve">заработная плата </t>
  </si>
  <si>
    <t xml:space="preserve">прочие  </t>
  </si>
  <si>
    <t>СМП</t>
  </si>
  <si>
    <t>амбулаторные</t>
  </si>
  <si>
    <t>Доля расходов в структуре (по форме 62 за 2022 год)</t>
  </si>
  <si>
    <t>в том числе Реабилитация</t>
  </si>
  <si>
    <t>Принято к оплате медицинской помощи, оказанной лицам, застрахованным по обязательному медицинскому страхованию, с учетом проведения медико-экономического контроля</t>
  </si>
  <si>
    <t>Условия предоставления медицинской помощи</t>
  </si>
  <si>
    <t>№ строки</t>
  </si>
  <si>
    <t>нарастающим итогом с начала года</t>
  </si>
  <si>
    <t>Объем медицинской помощи (вызов, посещения, обращения, случаи)</t>
  </si>
  <si>
    <t>Средняя стоимость единицы объема, руб.,
35=36/29*1000</t>
  </si>
  <si>
    <t>Финансовое обеспечение, тыс.рублей</t>
  </si>
  <si>
    <t>Всего: 
29=33+34</t>
  </si>
  <si>
    <t>из них (из графы 29)</t>
  </si>
  <si>
    <t>в том числе (из графы 29)</t>
  </si>
  <si>
    <t>Всего:
36=40+41</t>
  </si>
  <si>
    <t>из них (из графы 36)</t>
  </si>
  <si>
    <t>в том числе (из графы 36)</t>
  </si>
  <si>
    <t>за счет средств межбюджетных трансфертов из Резервного фонда Правительства РФ и бюджета ФФОМС</t>
  </si>
  <si>
    <t>взрослые</t>
  </si>
  <si>
    <t>дети от 0 до 17 лет включительно</t>
  </si>
  <si>
    <t>на территории страхования</t>
  </si>
  <si>
    <t>за пределами территории страхования</t>
  </si>
  <si>
    <t>за счет средств межбюджетных трансфертов из Резервного фонда Правительства РФ и бюджета ФФОМС*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</si>
  <si>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</si>
  <si>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</si>
  <si>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</si>
  <si>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</si>
  <si>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</si>
  <si>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</si>
  <si>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</si>
  <si>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</si>
  <si>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</si>
  <si>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</si>
  <si>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Всего, в том числе</t>
  </si>
  <si>
    <t>1=3+5+31+37</t>
  </si>
  <si>
    <t>пациентам с новой коронавирусной инфекцией COVID-19</t>
  </si>
  <si>
    <t>Скорая медицинская помощь, всего, в том числе</t>
  </si>
  <si>
    <t>Амбулаторно-поликлиническая помощь, всего, в том числе</t>
  </si>
  <si>
    <t>Посещения с профилактическими целями</t>
  </si>
  <si>
    <t>6=7+8</t>
  </si>
  <si>
    <t>для проведения профилактических медицинских осмотров</t>
  </si>
  <si>
    <t>для проведения диспансеризации, всего</t>
  </si>
  <si>
    <t>из них угубленная диспансеризация</t>
  </si>
  <si>
    <t>Посещений с иными целями, всего</t>
  </si>
  <si>
    <t>их них:  школы для больных сахарным диабетом</t>
  </si>
  <si>
    <t>Посещения по неотложной помощи</t>
  </si>
  <si>
    <t>Обращения по заболеваниям - медицинская реабилитация</t>
  </si>
  <si>
    <t>из них посещения на дому</t>
  </si>
  <si>
    <t>телемедицина</t>
  </si>
  <si>
    <t>Обращения по заболеваниям, всего</t>
  </si>
  <si>
    <t>из них, пациентам с новой коронавирусной инфекцией COVID-19</t>
  </si>
  <si>
    <t>магнитно-резонансная томография</t>
  </si>
  <si>
    <t>молекулярно-биологическое исследования с целью выявления онкологических заболеваний</t>
  </si>
  <si>
    <t>патолого-анатомическое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</si>
  <si>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>тестирование на выявление новой коронавирусной инфекции COVID-19</t>
  </si>
  <si>
    <t>тестирование на наличие респираторных инфекций, включая вирус гриппа (любым из методов), всего</t>
  </si>
  <si>
    <t>из них: по заболеванию грипп</t>
  </si>
  <si>
    <t>по заболеванию ОРВи</t>
  </si>
  <si>
    <t>Дневные стационары, всего, в том числе</t>
  </si>
  <si>
    <t>31=32+33+34+35</t>
  </si>
  <si>
    <t>экстракорпоральное оплодотворение</t>
  </si>
  <si>
    <t>иные профили, всего, их них</t>
  </si>
  <si>
    <t>по заболеванию гепатитом С</t>
  </si>
  <si>
    <t>Стационарная медицинская помощь, всего, в том числе</t>
  </si>
  <si>
    <t>37=38+39+40</t>
  </si>
  <si>
    <t>иные профили, всего, из них:</t>
  </si>
  <si>
    <t>42</t>
  </si>
  <si>
    <t>на 1 застрахованного</t>
  </si>
  <si>
    <t>численность на 01.01.2023</t>
  </si>
  <si>
    <t>к диф</t>
  </si>
  <si>
    <t>без К диф</t>
  </si>
  <si>
    <t>х</t>
  </si>
  <si>
    <t>2026 год</t>
  </si>
  <si>
    <t>2025 год</t>
  </si>
  <si>
    <t>2024 год</t>
  </si>
  <si>
    <t>2023 год</t>
  </si>
  <si>
    <t>2022 год</t>
  </si>
  <si>
    <t>2021 год</t>
  </si>
  <si>
    <t>ФГУ</t>
  </si>
  <si>
    <t>Условия</t>
  </si>
  <si>
    <t>Круглосуточный стационар</t>
  </si>
  <si>
    <t>Дневной стационар</t>
  </si>
  <si>
    <t>федеральными МО (данные Димы)</t>
  </si>
  <si>
    <t>медицинскими организациями (за исключением федеральных медицинских организаций) (данные Димы)</t>
  </si>
  <si>
    <t>%</t>
  </si>
  <si>
    <t>объем</t>
  </si>
  <si>
    <t>норматив объема</t>
  </si>
  <si>
    <t>КД</t>
  </si>
  <si>
    <t>2023 по №2497</t>
  </si>
  <si>
    <t>% от 2023</t>
  </si>
  <si>
    <t>приведен к году</t>
  </si>
  <si>
    <t>Прогноз социально-экономического развития РФ</t>
  </si>
  <si>
    <t>НФЗ</t>
  </si>
  <si>
    <t>индексация</t>
  </si>
  <si>
    <t>ПНФз</t>
  </si>
  <si>
    <t>Отклонение</t>
  </si>
  <si>
    <t>Проект ПГГ на 2024-2026 годы</t>
  </si>
  <si>
    <t>ПГГ 2022</t>
  </si>
  <si>
    <t>ПГГ 2023</t>
  </si>
  <si>
    <t>НО</t>
  </si>
  <si>
    <t>2. Первичная медико-санитарная помощь</t>
  </si>
  <si>
    <t>2.1 в амбулаторных условиях:</t>
  </si>
  <si>
    <t>в том числе</t>
  </si>
  <si>
    <t>2.1.1 посещения с профилактическими и иными целями - всего</t>
  </si>
  <si>
    <t>из них:</t>
  </si>
  <si>
    <t>2.1.2 для проведения диспансеризации - всего</t>
  </si>
  <si>
    <t>в том числе:</t>
  </si>
  <si>
    <t>2.1.3 для посещений с иными целями</t>
  </si>
  <si>
    <t>2.1.4 в неотложной форме</t>
  </si>
  <si>
    <t>2.1.5 в связи с заболеваниями - обращений - всего</t>
  </si>
  <si>
    <t>эндоскопическое диагностическое исследование</t>
  </si>
  <si>
    <t>молекулярно-генетическое исследование с целью диагностики онкологических заболеваний</t>
  </si>
  <si>
    <t>патологоанатомическое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</si>
  <si>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>3. В условиях дневных стационаров (первичная медико-санитарная помощь, специализированная медицинская помощь) - всего</t>
  </si>
  <si>
    <t>3.1 для оказания медицинской помощи по профилю "онкология" - всего</t>
  </si>
  <si>
    <t>4. Специализированная, в том числе высокотехнологичная, медицинская помощь в условиях круглосуточного стационара - всего</t>
  </si>
  <si>
    <t>4.1 для оказания медицинской помощи по профилю "онкология" - всего</t>
  </si>
  <si>
    <t xml:space="preserve">5. Медицинская реабилитация </t>
  </si>
  <si>
    <t>Виды медицинской помощи</t>
  </si>
  <si>
    <t>Финансовое обеспечение медицинской помощи, млрд. руб.</t>
  </si>
  <si>
    <t>Скорая медицинская помощь</t>
  </si>
  <si>
    <t>Амбулаторно-поликлиническая помощь</t>
  </si>
  <si>
    <t>Итого по видам медицинской помощи</t>
  </si>
  <si>
    <t>АУП</t>
  </si>
  <si>
    <t>Всего субвенция</t>
  </si>
  <si>
    <t>млрд. рублей</t>
  </si>
  <si>
    <t>структура, %</t>
  </si>
  <si>
    <t>прирост, млрд.рублей</t>
  </si>
  <si>
    <t>В рамках ТПГГ</t>
  </si>
  <si>
    <t>При оказании медпомощи федеральными медицинскиими организациями</t>
  </si>
  <si>
    <t>в т.ч. медреабилитация</t>
  </si>
  <si>
    <t>2.1</t>
  </si>
  <si>
    <t>8.1</t>
  </si>
  <si>
    <t>3.1</t>
  </si>
  <si>
    <t>4.1</t>
  </si>
  <si>
    <t>5.1</t>
  </si>
  <si>
    <t>9.1</t>
  </si>
  <si>
    <t>10.1</t>
  </si>
  <si>
    <t>№п/п</t>
  </si>
  <si>
    <t>подушевой норматив</t>
  </si>
  <si>
    <t>Субвенция</t>
  </si>
  <si>
    <t>Объемы, случаи</t>
  </si>
  <si>
    <t>Всего</t>
  </si>
  <si>
    <t xml:space="preserve">2.1.1 посещения в рамках проведения профилактических медицинских осмотров, из них: </t>
  </si>
  <si>
    <t>пгг 2024</t>
  </si>
  <si>
    <t>онкология</t>
  </si>
  <si>
    <t>прочие</t>
  </si>
  <si>
    <t>3.2 для оказания медицинской помощи при экстракорпоральном оплодотворении - всего, в том числе:</t>
  </si>
  <si>
    <t>3.3 для оказания медициснкой помощи больным с вирусным гепатитом С - всего, в том числе:</t>
  </si>
  <si>
    <t>3.4 Иные профили - всего</t>
  </si>
  <si>
    <t>без индексации</t>
  </si>
  <si>
    <t xml:space="preserve">индексация </t>
  </si>
  <si>
    <t>для оказания медицинской помощи медицинскими организациями (за исключением федеральных медицинских организаций)-всего, в том числе:</t>
  </si>
  <si>
    <t>первичная медико-санитарная помощь</t>
  </si>
  <si>
    <t>специализированная медицинская помощь</t>
  </si>
  <si>
    <t>медицинскими организациями (за исключением федеральных медицинских организаций)-всего, в том числе</t>
  </si>
  <si>
    <t>2.1.2.1 для проведения углубленной диспансеризации, из них</t>
  </si>
  <si>
    <t>2.1.6 диспансерное наблюдение, в том числе:</t>
  </si>
  <si>
    <t>2.1.6.1 онкология</t>
  </si>
  <si>
    <t>2.1.6.2 сахарный диабет</t>
  </si>
  <si>
    <t>2.1.6.3 болезни системы кровообращения</t>
  </si>
  <si>
    <t>4.2 Иные профили - всего</t>
  </si>
  <si>
    <t>5.3 в условиях круглосуточного стационара (специализированная, в том числе высокотехнологичная, медицинская помощь) - всего, в том числе:</t>
  </si>
  <si>
    <t>2024 проект ИТОГ (+К дост)</t>
  </si>
  <si>
    <t>Итого</t>
  </si>
  <si>
    <t>По проекту 04.10.2023</t>
  </si>
  <si>
    <t>По проекту 06.10.2024</t>
  </si>
  <si>
    <t>НФЗ по проекту 04.10.2023</t>
  </si>
  <si>
    <t>НФЗ по проекту 06.10.2024</t>
  </si>
  <si>
    <t>прирост,% к предыдущему проекту</t>
  </si>
  <si>
    <t>прирост,% к 2023 году</t>
  </si>
  <si>
    <t>Х</t>
  </si>
  <si>
    <t>прирост, к предыдущему проекту (тыс. руб.)</t>
  </si>
  <si>
    <t>прирост, к 2023 (тыс. руб.)</t>
  </si>
  <si>
    <t>3.2</t>
  </si>
  <si>
    <t>3.3</t>
  </si>
  <si>
    <t>в т.ч. ЭКО</t>
  </si>
  <si>
    <t>в т.ч. онкология</t>
  </si>
  <si>
    <t>4.2</t>
  </si>
  <si>
    <t>5.2</t>
  </si>
  <si>
    <t>5.3</t>
  </si>
  <si>
    <t>8.2</t>
  </si>
  <si>
    <t>8.3</t>
  </si>
  <si>
    <t>9.2</t>
  </si>
  <si>
    <t>10.2</t>
  </si>
  <si>
    <t>10.3</t>
  </si>
  <si>
    <t>Объем</t>
  </si>
  <si>
    <t>Финансовое обеспечение, тыс. руб</t>
  </si>
  <si>
    <t>Единиц</t>
  </si>
  <si>
    <t>стоимость (тыс. руб)</t>
  </si>
  <si>
    <t>стоимость</t>
  </si>
  <si>
    <t>Подушевик на оказание медицинской помощи, всего</t>
  </si>
  <si>
    <t>Финансовое обеспечение и расходование субвенции на оказание медицинской помощи пациентам с онкологическими заболеваниями, 
в стационарных условиях и в условиях дневного стационара в 2021 - 2023 годах в рамках территориальных и базовой программ обязательного медицинского страхования, по территории страхования</t>
  </si>
  <si>
    <t>Показатели</t>
  </si>
  <si>
    <t>8 мес. 2023 года</t>
  </si>
  <si>
    <t>Онкология всего, тыс. руб.</t>
  </si>
  <si>
    <t>Химиотерапия, тыс. руб.</t>
  </si>
  <si>
    <t>Кратность, раз</t>
  </si>
  <si>
    <t>НФЗ 2023</t>
  </si>
  <si>
    <t>НФЗ 2024</t>
  </si>
  <si>
    <t>Прирост</t>
  </si>
  <si>
    <t>разница объемов</t>
  </si>
  <si>
    <t>За счет НФЗ</t>
  </si>
  <si>
    <t>За счет индексации</t>
  </si>
  <si>
    <t>тыс. руб</t>
  </si>
  <si>
    <t>Структура прироста</t>
  </si>
  <si>
    <t>Структура основного прироста финансового обеспечения ПГГ в 2024 году</t>
  </si>
  <si>
    <t xml:space="preserve">2024 проект </t>
  </si>
  <si>
    <t>За счет объемов</t>
  </si>
  <si>
    <t>разница нфз</t>
  </si>
  <si>
    <t>ФМО всего</t>
  </si>
  <si>
    <t>тыс. руб.</t>
  </si>
  <si>
    <t>ФМО</t>
  </si>
  <si>
    <t>ИТОГО</t>
  </si>
  <si>
    <t>за счет увеличения объемов</t>
  </si>
  <si>
    <t>за счет увеличения НФЗ</t>
  </si>
  <si>
    <t>Первичная медико-санитарная помощь</t>
  </si>
  <si>
    <t>в амбулаторных условиях, в том числе:</t>
  </si>
  <si>
    <t xml:space="preserve">посещения в рамках проведения профилактических медицинских осмотров, из них: </t>
  </si>
  <si>
    <t>посещения в рамках проведения диспансеризации - всего, в том числе:</t>
  </si>
  <si>
    <t>для проведения углубленной диспансеризации, из них</t>
  </si>
  <si>
    <t>Обращения в связи с заболеваниями -  всего, из них:</t>
  </si>
  <si>
    <t>проведение отдельных диагностических (лабораторных) исследований:</t>
  </si>
  <si>
    <t>Посещения с иными целями</t>
  </si>
  <si>
    <t xml:space="preserve">магнитно-резонансная томография </t>
  </si>
  <si>
    <t>Диспансерное наблюдение, в том числе:</t>
  </si>
  <si>
    <t>сахарный диабет</t>
  </si>
  <si>
    <t>болезни системы кровообращения</t>
  </si>
  <si>
    <t>Медицинская реабилитация в амбулаторных условиях</t>
  </si>
  <si>
    <t>В условиях дневных стационаров (первичная медико-санитарная помощь, специализированная медицинская помощь), в том числе:</t>
  </si>
  <si>
    <t>для оказания медицинской помощи по профилю "онкология" - всего, в том числе:</t>
  </si>
  <si>
    <t>для оказания медицинской помощи при экстракорпоральном оплодотворении - всего, в том числе:</t>
  </si>
  <si>
    <t>Специализированная, в том числе высокотехнологичная, медицинская помощь в условиях круглосуточного стационара, - всего, в том числе:</t>
  </si>
  <si>
    <t>Медицинская реабилитация в условиях дневных стационаров</t>
  </si>
  <si>
    <t>Медицинская реабилитация в условиях круглосуточного стационара</t>
  </si>
  <si>
    <t>Структура НФЗ 2023</t>
  </si>
  <si>
    <t>Индексация на 2024 год</t>
  </si>
  <si>
    <t>Расчетный НФЗ 2024</t>
  </si>
  <si>
    <t>Экспертный прирост расчетного НФЗ 2024 на 3,4%</t>
  </si>
  <si>
    <t>Расчет НФЗ по СМП на 2024 год</t>
  </si>
  <si>
    <t>ЗП 79,5%</t>
  </si>
  <si>
    <t>Прочее  20,5%</t>
  </si>
  <si>
    <t>ЗП 9,8%</t>
  </si>
  <si>
    <t>Прочее 4,5%</t>
  </si>
  <si>
    <t>ГОД</t>
  </si>
  <si>
    <t>2024 по №2353</t>
  </si>
  <si>
    <t>К дост</t>
  </si>
  <si>
    <t>Информация об объемах и стоимости (с учетом коэффициента дифференциации) отдельных видов медицинской помощи по условиям ее оказания на 2024 год и проект на 2025 год</t>
  </si>
  <si>
    <t>Рост проекта на 2025 год к утвержденному на 2024 год</t>
  </si>
  <si>
    <t>Кдиф</t>
  </si>
  <si>
    <t>Кдост</t>
  </si>
  <si>
    <t>2027 год</t>
  </si>
  <si>
    <t>Разница в БС</t>
  </si>
  <si>
    <t>Рост НФЗ</t>
  </si>
  <si>
    <t>Рост БС</t>
  </si>
  <si>
    <t>НФЗ в ПГГ</t>
  </si>
  <si>
    <t>Доля БС</t>
  </si>
  <si>
    <t>БС</t>
  </si>
  <si>
    <t>рублей</t>
  </si>
  <si>
    <t>В стационарных условиях</t>
  </si>
  <si>
    <t>За исключением ФГУ</t>
  </si>
  <si>
    <t>В условиях дневного стационара</t>
  </si>
  <si>
    <t>Параметры индексации</t>
  </si>
  <si>
    <t>Справочно: необходимая индексация по базовому сценарию прогноза социально-экономического развития</t>
  </si>
  <si>
    <t>"Лишний" рост БС, %</t>
  </si>
  <si>
    <t>Размер базовой ставки не для ФГУ рассчитывается на основании НФЗ по спецпомощи за исключением реабилитации
Размер коэффициента приведения для ФГУ рассчитывается на основании НФЗ без учета медицинской реабилитации</t>
  </si>
  <si>
    <t>Сравнение нормативов финансовых затрат и базовых ставок (проект ПГГ)</t>
  </si>
  <si>
    <t>2024 год (по ПГГ 2353)</t>
  </si>
  <si>
    <t>Справочно: НФЗ 2024 только с учетом индексации на 2025</t>
  </si>
  <si>
    <t>2025 год (проект)</t>
  </si>
  <si>
    <t>1885123880</t>
  </si>
  <si>
    <t>к дост</t>
  </si>
  <si>
    <t>Расчет объема по 4 мес</t>
  </si>
  <si>
    <t>2=4+18+25+41</t>
  </si>
  <si>
    <t>5=6+11+13+14+17 +30</t>
  </si>
  <si>
    <t>из них лица репродуктивного возраста по оценке репродуктивного здоровья</t>
  </si>
  <si>
    <t>диспансерное наблюдение всего, в том числе</t>
  </si>
  <si>
    <t>30=30.1+30.2+
30.3+30.4</t>
  </si>
  <si>
    <t>с онкологическими заболеваниями</t>
  </si>
  <si>
    <t>30.1</t>
  </si>
  <si>
    <t>с сердечно-сосудистыми заболеваниями</t>
  </si>
  <si>
    <t>30.2</t>
  </si>
  <si>
    <t>с сахарным диабетом</t>
  </si>
  <si>
    <t>30.3</t>
  </si>
  <si>
    <t>30.4</t>
  </si>
  <si>
    <t>из них: с неинфекционными заболеваниями застрахованных лиц, прошедших диспансерное наблюдение на рабочем месте и (или) в образовательной организации</t>
  </si>
  <si>
    <t>30.5</t>
  </si>
  <si>
    <t>женщины</t>
  </si>
  <si>
    <t>мужчины</t>
  </si>
  <si>
    <t>Финансовое обеспечение диспансеризации для оценки репродуктивного здоровья женщин и мужчин</t>
  </si>
  <si>
    <t>Редакция от 06.12.2023</t>
  </si>
  <si>
    <t>ПГГ №2353</t>
  </si>
  <si>
    <t>Вид исследования</t>
  </si>
  <si>
    <t>Код по номенклатуре 804н</t>
  </si>
  <si>
    <t>Наименование услуги по 804н</t>
  </si>
  <si>
    <t>Стоимость</t>
  </si>
  <si>
    <t>Возрастная категория</t>
  </si>
  <si>
    <t>Численность возрастной категории на 01.01.2023</t>
  </si>
  <si>
    <t>Кратность проведения</t>
  </si>
  <si>
    <t>Численность возрастной категории, подлежащих  ДД, с учетом кратности</t>
  </si>
  <si>
    <t>Объем финансирования, рублей на 2024</t>
  </si>
  <si>
    <t>НФЗ по 2353 на 2025 год</t>
  </si>
  <si>
    <t>Объем на 2025</t>
  </si>
  <si>
    <t>Объем финансирования, рублей на 2026</t>
  </si>
  <si>
    <t>НФЗ по 2353 на 2026 год</t>
  </si>
  <si>
    <t>Объем на 2026</t>
  </si>
  <si>
    <t>Женщины,1 этап диспансеризации</t>
  </si>
  <si>
    <t>Проведение анкетирования женщин в целях оценки репродуктивного здоровья и репродуктивных установок</t>
  </si>
  <si>
    <t>B04.001.002</t>
  </si>
  <si>
    <t>Профилактический прием (осмотр, консультация) врача-акушера-гинеколога</t>
  </si>
  <si>
    <t>женщины 18-49 лет</t>
  </si>
  <si>
    <t>1 раз в 3 года</t>
  </si>
  <si>
    <t>Пальпация молочных желез</t>
  </si>
  <si>
    <t>Проведение осмотра врачом акушером-гинекологом женщин с проведением бимануального влагалищного исследования, пальпации молочных желез</t>
  </si>
  <si>
    <t>Осмотр шейки матки в зеркалах с забором материала на исследование</t>
  </si>
  <si>
    <t>Проведение индивидуального профилактического консультирования по вопросам возможных нарушений репродуктивной системы и репродуктивных установок врачом акушером-гинекологом женщин или при его отсутствии акушеркой по итогам проведенного обследования по оценке репродуктивного здоровья и репродуктивных установок в рамках первого этапа диспансеризации</t>
  </si>
  <si>
    <t>Получение цервикального мазка, цитологическое исследование микропрепарата шейки матки (цервикального канала)</t>
  </si>
  <si>
    <t>A08.20.017</t>
  </si>
  <si>
    <t>Цитологическое исследование микропрепарата шейки матки</t>
  </si>
  <si>
    <t>Цитологическое исследование мазка (соскоба) с шейки матки проводится при его окрашивании по Папаниколау (другие способы окраски не допускаются)</t>
  </si>
  <si>
    <t>Получение влагалищного мазка, микроскопическое исследование влагалищного мазка</t>
  </si>
  <si>
    <t>A12.20.001</t>
  </si>
  <si>
    <t>Микроскопическое исследование влагалищных мазков</t>
  </si>
  <si>
    <t>Проведение лабораторных исследований мазков в целях выявления возбудителей инфекционных заболеваний органов малого таза методом полимеразной цепной реакции</t>
  </si>
  <si>
    <t>A26.20.034.001</t>
  </si>
  <si>
    <t>Определение ДНК возбудителей инфекции передаваемые половым путем (Neisseria gonorrhoeae, Trichomonas vaginalis, Chlamydia trachomatis, Mycoplasma genitalium) в отделяемом слизистых женских половых органов методом ПЦР</t>
  </si>
  <si>
    <t>женщины 18-29</t>
  </si>
  <si>
    <t>ВСЕГО Женщины, 1 этап</t>
  </si>
  <si>
    <t>с кДиф</t>
  </si>
  <si>
    <t>Мужчины,1 этап диспансеризации</t>
  </si>
  <si>
    <t>Проведение осмотра наружных половых органов врачом-терапевтом (фельдшером)</t>
  </si>
  <si>
    <t>B04.047.002</t>
  </si>
  <si>
    <t>Профилактический прием (осмотр, консультация) врача-терапевта*</t>
  </si>
  <si>
    <t>мужчины 18, 21, 24, 27, 30, 33, 36, 39 лет</t>
  </si>
  <si>
    <t xml:space="preserve"> Прием (осмотр) врачом-урологом (при его отсутствии врачом-хирургом, прошедшим подготовку по вопросам репродуктивного здоровья у мужчин)</t>
  </si>
  <si>
    <t>B01.053.001</t>
  </si>
  <si>
    <t>Прием (осмотр, консультация) врача-уролога первичный</t>
  </si>
  <si>
    <t>мужчины 18-49</t>
  </si>
  <si>
    <t>ВСЕГО Мужчины, 1 этап с Кдиф</t>
  </si>
  <si>
    <t>ВСЕГО 1 этап</t>
  </si>
  <si>
    <t>Средневзвешенный норматив (без Кдиф)</t>
  </si>
  <si>
    <t>С учетом Кдост</t>
  </si>
  <si>
    <t>Женщины, 2 этап диспансеризации</t>
  </si>
  <si>
    <t>Ультразвуковое исследование молочных желез</t>
  </si>
  <si>
    <t>A04.20.002</t>
  </si>
  <si>
    <t>10% от осмотренных в рамках ДД</t>
  </si>
  <si>
    <t>Ультразвуковое исследование органов малого таза</t>
  </si>
  <si>
    <t>A04.30.010</t>
  </si>
  <si>
    <t>Ультразвуковое исследование органов малого таза комплексное (трансвагинальное и трансабдоминальное)</t>
  </si>
  <si>
    <t>30% от осмотренных в рамках ДД</t>
  </si>
  <si>
    <t>Проведение индивидуального углубленного профилактического консультирования по вопросам возможных нарушений репродуктивной системы</t>
  </si>
  <si>
    <t>B01.001.002</t>
  </si>
  <si>
    <t>Прием (осмотр, консультация) врача-акушера-гинеколога повторный</t>
  </si>
  <si>
    <t>женщины 30-49 лет</t>
  </si>
  <si>
    <t>Повторный прием (осмотр) врачом акушером-гинекологом</t>
  </si>
  <si>
    <t>Всего Женщины 2 этап</t>
  </si>
  <si>
    <t>Всего Женщины 2 этап с Кдиф</t>
  </si>
  <si>
    <t>Мужчины, 2 этап диспансеризаии</t>
  </si>
  <si>
    <t>Спермограмма</t>
  </si>
  <si>
    <t>B03.053.002</t>
  </si>
  <si>
    <t>Микроскопическое исследование микрофлоры или проведение лабораторных исследований в целях выявления возбудителей инфекционных заболеваний органов малого таза методом полимеразной цепной реакции</t>
  </si>
  <si>
    <t>A26.21.036.001</t>
  </si>
  <si>
    <t>Определение ДНК возбудителей инфекции передаваемые половым путем (Neisseria gonorrhoeae, Trichomonas vaginalis, Chlamydia trachomatis, Mycoplasma genitalium) в отделяемом из уретры методом ПЦР</t>
  </si>
  <si>
    <t>Ультразвуковое исследование предстательной железы и органов мошонки</t>
  </si>
  <si>
    <t>A04.21.001</t>
  </si>
  <si>
    <t>Ультразвуковое исследование предстательной железы</t>
  </si>
  <si>
    <t>Повторный прием (осмотр) врачом-урологом (при его отсутствии врачом-хирургом, прошедшим подготовку по вопросам репродуктивного здоровья у мужчин)</t>
  </si>
  <si>
    <t>B01.053.002</t>
  </si>
  <si>
    <t>Прием (осмотр, консультация) врача-уролога повторный</t>
  </si>
  <si>
    <t>Всего Мужчины 2 этап</t>
  </si>
  <si>
    <t>ВСЕГО 2 этап</t>
  </si>
  <si>
    <t>Всего Мужчины 2 этап с Кдиф</t>
  </si>
  <si>
    <t>ВСЕГО 2 ЭТАП</t>
  </si>
  <si>
    <t>ИТОГО 1 и 2 этапы  с Кдиф</t>
  </si>
  <si>
    <t>ВСЕГО 1 И 2 ЭТАПЫ</t>
  </si>
  <si>
    <t>Прочие нозологические группы</t>
  </si>
  <si>
    <t>данные из расчета ПГГ на 2024</t>
  </si>
  <si>
    <t>1. Табл. 3 п. 2.9 раздела 2 Методических рекомендаций</t>
  </si>
  <si>
    <t>Группа пациентов
(в среднем 10 пациентов в группе)</t>
  </si>
  <si>
    <t>Рекомендуемая стоимость без учета Кдиф, рублей</t>
  </si>
  <si>
    <t>В среднем включает</t>
  </si>
  <si>
    <t>Взрослые с сахарным диабетом 1 типа</t>
  </si>
  <si>
    <t>5 занятий продолжительностью 4 часа, а также проверка дневников самоконтроля</t>
  </si>
  <si>
    <t>Взрослые с сахарным диабетом 2 типа</t>
  </si>
  <si>
    <t>5 занятий продолжительностью 3 часа, а также проверка дневников самоконтроля</t>
  </si>
  <si>
    <t>Дети и подростки с сахарным диабетом</t>
  </si>
  <si>
    <t>10 занятий продолжительностью 2 часа, а также проверка дневников самоконтроля</t>
  </si>
  <si>
    <t>2. Проиндексированный тариф на 2024-2026 гг.</t>
  </si>
  <si>
    <t>Группа пациентов</t>
  </si>
  <si>
    <t>Год</t>
  </si>
  <si>
    <t>Индексация (ежегодно)</t>
  </si>
  <si>
    <t>Тариф, руб.</t>
  </si>
  <si>
    <t>3. Сведения о количестве пациентов</t>
  </si>
  <si>
    <t>Количество пациентов с сахарным диабетом</t>
  </si>
  <si>
    <t>Где лежит</t>
  </si>
  <si>
    <t>Количество пациентов ШСД - 1/3
(по всем условиям)</t>
  </si>
  <si>
    <t>Количество пациентов в АПП</t>
  </si>
  <si>
    <t>M:\КСГ\Отдельные поручения\Эндокринология\!!!Расчеты школ диабета для МР и доклада президенту\расчеты диабета.xlsx</t>
  </si>
  <si>
    <t>4. Средневзвешенный норматив по годам</t>
  </si>
  <si>
    <t>Количество пациентов</t>
  </si>
  <si>
    <t>Финансовое обеспечение, руб.</t>
  </si>
  <si>
    <t>Средневзвешенная средняя (норматив), руб.</t>
  </si>
  <si>
    <t>ДЛЯ ПГГ 2025</t>
  </si>
  <si>
    <t>численность, тыс. чел</t>
  </si>
  <si>
    <t>стоимость комплексного посещения с учетом СИС ДН без Кдиф, руб.</t>
  </si>
  <si>
    <t>ПЭТ КТ</t>
  </si>
  <si>
    <t>Гепатит С</t>
  </si>
  <si>
    <t>Обоснование</t>
  </si>
  <si>
    <t>Фактическое исполнение (принято к оплате с учетом МЭК) 
за 5 мес 2024 года</t>
  </si>
  <si>
    <t>Показатели ПГГ</t>
  </si>
  <si>
    <t>Стоимость, тыс. рублей</t>
  </si>
  <si>
    <t xml:space="preserve">в том числе онкология </t>
  </si>
  <si>
    <t>в том числе ЭКО</t>
  </si>
  <si>
    <t>ДС мед.реаб</t>
  </si>
  <si>
    <t>КС мед.реаб</t>
  </si>
  <si>
    <t>Итого ДС+КС</t>
  </si>
  <si>
    <t>Средняя ст-ть</t>
  </si>
  <si>
    <t>Объемы 6 мес_расчет, случаи</t>
  </si>
  <si>
    <t>Иные</t>
  </si>
  <si>
    <t>Проект ПГГ на 2025-2027 годы (показатели)</t>
  </si>
  <si>
    <t>Доля расходов в структуре (по форме 62 за 2023 год)</t>
  </si>
  <si>
    <t>Территориальная программа</t>
  </si>
  <si>
    <t>Распределено</t>
  </si>
  <si>
    <t>Прирост относительно 2024 года</t>
  </si>
  <si>
    <t>Субвенция на 2025 год, всего</t>
  </si>
  <si>
    <t>Подушевой норматив</t>
  </si>
  <si>
    <t>НЕ распределено</t>
  </si>
  <si>
    <t>Стентирование</t>
  </si>
  <si>
    <t>Фактическое исполнение (принято к оплате с учетом МЭК) 
за 12 мес 2023 года (по состоянию на 16.06.2024)</t>
  </si>
  <si>
    <t>численность на 01.01.2022</t>
  </si>
  <si>
    <t>% роста проекта 2025 к утв 2024</t>
  </si>
  <si>
    <t>Примечание</t>
  </si>
  <si>
    <t xml:space="preserve">Факт 2023 </t>
  </si>
  <si>
    <t>Прогноз исполнения за 2024 год</t>
  </si>
  <si>
    <t>2024 по №2353 без КД</t>
  </si>
  <si>
    <t>2025 проект без КД</t>
  </si>
  <si>
    <t>на уровне плана 2024</t>
  </si>
  <si>
    <t>на уровне плана 2024 + 11,6%</t>
  </si>
  <si>
    <t>Перекос</t>
  </si>
  <si>
    <t>прирост</t>
  </si>
  <si>
    <t>Наименование показателя</t>
  </si>
  <si>
    <t>Утверждено 
на 2024 год</t>
  </si>
  <si>
    <t>Темп роста подушевого норматива</t>
  </si>
  <si>
    <t>Средства ФГУ</t>
  </si>
  <si>
    <t>Таблица 2. Прогноз потребности с учетом поэтапного охвата пациентов дистанционным наблюдением в рамках проекта "Персональные медицинские помощники" в 2025-2030 гг. 
(с учетом применения Кдиф ко всей стоимости, аналогично расчету размера субвенции)
с учетом совещания от 19.07.2024</t>
  </si>
  <si>
    <t>Параметры</t>
  </si>
  <si>
    <t>2028 год</t>
  </si>
  <si>
    <t>2029 год</t>
  </si>
  <si>
    <t>2030 год</t>
  </si>
  <si>
    <t>2025-2030 итого</t>
  </si>
  <si>
    <t>АГ</t>
  </si>
  <si>
    <t>СД</t>
  </si>
  <si>
    <t>Размер тарифа на ДН на 1 месяц (с учетом Кдиф), руб.</t>
  </si>
  <si>
    <t>в том числе в части оплаты труда с начислениями (с учетом Кдиф), руб.</t>
  </si>
  <si>
    <t>в том числе на эксплуатационные расходы с использованием информационной системы «Персональные медицинские помощники» в месяц (из расчета 31,28 руб./мес. в 2025 году) (с учетом Кдиф), руб.*</t>
  </si>
  <si>
    <r>
      <t xml:space="preserve">Число месяцев в году, которое в среднем пациент находится на ДН (в отношении АГ - по информации НМИЦК им. ак. Е.И. Чазова от 17.05.2024 № 01/1032)
</t>
    </r>
    <r>
      <rPr>
        <i/>
        <sz val="11"/>
        <color theme="1"/>
        <rFont val="Times New Roman"/>
        <family val="1"/>
        <charset val="204"/>
      </rPr>
      <t>В целях более полного соответствия данными НМИЦ о количестве пациенто-месяцев при АГ данные округляются до 7 знаков после запятой</t>
    </r>
  </si>
  <si>
    <t>Объем средств в год в расчете на одного пациента, руб. (усредненно с учетом Кдиф)</t>
  </si>
  <si>
    <t>Количество пациентов на ДН, тыс. чел.
(в отношении АГ и СД - по предложениям, подготовленным с учетом совещания от 19.07.2024; соответствует информации НМИЦ эндокринологии от 19.01.2024 № 3/107/24 и НМИЦ им. ак. Е.И. Чазова от 17.05.2024 № 01/1032)</t>
  </si>
  <si>
    <t>Справочно: в том числе количество пациентов с хронической сердечной недостаточностью (включены в кол-во пациентов по АГ с 2026 года)</t>
  </si>
  <si>
    <t>Усредненная стоимость одного календарного месяца в расчете на одного пациента с учетом кратности (с учетом Кдиф), руб.</t>
  </si>
  <si>
    <t>Общее количество пациенто-месяцев в год, тысяч</t>
  </si>
  <si>
    <t>Потребность в год (с учетом Кдиф и кратности), млн. руб.</t>
  </si>
  <si>
    <t>в том числе на оплату труда с начислениями (с учетом Кдиф и кратности), млн. руб.</t>
  </si>
  <si>
    <t>в том числе на эксплуатационные расходы, связанные с проведением дистанционного наблюдения за состоянием здоровья пациентов с использованием информационной системы «Персональные медицинские помощники» (из расчета 31,28 руб./мес. в 2025 году) (с учетом Кдиф и кратности), млн. руб.</t>
  </si>
  <si>
    <t>Справочно: основные параметры бюджета ФОМС 
на 2024-2026 гг. (541-ФЗ от 27.11.2023)</t>
  </si>
  <si>
    <t>Наименование</t>
  </si>
  <si>
    <t>Субвенция ФОМС, тыс. руб.</t>
  </si>
  <si>
    <t>Индекс</t>
  </si>
  <si>
    <t>Используемый уровень индексации на 2027 год и позднее</t>
  </si>
  <si>
    <t>объем на 2025</t>
  </si>
  <si>
    <t>НФЗ 2025</t>
  </si>
  <si>
    <t>объем на 2026</t>
  </si>
  <si>
    <t>норматив объема га 2026</t>
  </si>
  <si>
    <t>НФЗ 2026</t>
  </si>
  <si>
    <t>объем на 2027</t>
  </si>
  <si>
    <t>НФЗ 2027</t>
  </si>
  <si>
    <t>норматив объема га 2027</t>
  </si>
  <si>
    <t>персоналные помощники СД</t>
  </si>
  <si>
    <t>персоналные помощники АГ</t>
  </si>
  <si>
    <t>2.1.7. диспансерное наблюдение с применением персональных помощников, в том числе</t>
  </si>
  <si>
    <t>норматив объема на 2025</t>
  </si>
  <si>
    <t>норматив объема га 2024</t>
  </si>
  <si>
    <t>5  Включены в норматив объема первичной медико-санитарной помощи в амбулаторных условиях</t>
  </si>
  <si>
    <t>4 Включая случаи оказания паллиативной медицинской помощи в условиях дневного стационара</t>
  </si>
  <si>
    <t>3 Законченных случаев лечения заболевания в амбулаторных условиях с кратностью посещений по поводу одного заболевания не менее 2</t>
  </si>
  <si>
    <t>2Включая посещения, связанные с профилактическими мероприятиями,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организациях, а также в образовательных организациях высшего образования в целях раннего (своевременного) выявления незаконного потребления наркотических средств и психотропных веществ.</t>
  </si>
  <si>
    <t>1 Нормативы объема скорой медицинской помощи и нормативы финансовых затрат на 1 вызов скорой медицинской помощи устанавливаются субъектом Российской Федерации. Средний норматив финансовых затрат за счет средств соответствующих бюджетов на 1 случай оказания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судами, с учетом реальной потребности (за исключением расходов на авиационные работы) составляет на 2023 год 7217,6 рубля, 2024 год -7506,3 рублей, 2025 год -7806,5 рубля.</t>
  </si>
  <si>
    <t>6 Посещенияе по паллиативной медицинской помощи, в том числе посещения на дому патронажными бригадами,  включены в нормативы объема первичной медико-санитарной помощи в амбулаторных условиях</t>
  </si>
  <si>
    <t>5 Нормативы для  паллиативной медицинской помощи, предоставляемой в хосписах и больницах сестринского ухода, включают в себя медико-психологическое консультирование и психологические рекомендации по вопросам, связанным с  терминальной стадией зааболевания, характером  и особенностями паллиативной медицинской помощи, оказываемой пациентам и их родственникам</t>
  </si>
  <si>
    <t>4 Нормативы  объема медицинской помощи в  дневном стационаре являются суммой объемов первичной медико-санитарной помощи  в  дневном стационаре и объемов специализированной медицинской помощи  в  дневном стационаре и составляют 0,004 случая лечения в 2024-2026 годах. Указанные нормативы  включают также случаи оказания паллиативной медицинской помощи в условиях дневного стационара</t>
  </si>
  <si>
    <t>3 В нормативы обращений включаются законченные случаи лечения заболевания в амбулаторных условиях с кратностью посещений по поводу одного заболевания не менее 2, а также медико-психологическое консультирование и медико-психологическую помощь при заболеваниях, не входящих в базовую программу обязательного медицинского страхования</t>
  </si>
  <si>
    <t>2 Нормативы включают в числе прочих посещения, связанные с профилактическими мероприятиями,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организациях, а также в образовательных организациях высшего образования (включая посещения, связанные с проведением медико-психологического тестирования) в целях раннего (своевременного) выявления незаконного потребления наркотических средств и психотропных веществ. Посещения с иными целями включают в себя в том числе посещения для проведения медико-психологического консультирования и получения психологических рекомендаций при заболеваниях,  не входящих в базовую программу обязательного медицинского страхования</t>
  </si>
  <si>
    <t>1 Нормативы объема скорой медицинской помощи и нормативы финансовых затрат на 1 вызов скорой медицинской помощи устанавливаются субъектом Российской Федерации. Средний норматив финансовых затрат за счет средств соответствующих бюджетов на 1 случай оказания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судами, с учетом реальной потребности (за исключением расходов на авиационные работы) составляет на 2024 год 7 542,4 рубля, 2025 год -7 881,8 рублей, 2026 год - 8 236,5 рубля.</t>
  </si>
  <si>
    <t xml:space="preserve">      медицинскими организациями (за исключением федеральных медицинских организаций)</t>
  </si>
  <si>
    <t xml:space="preserve">      федеральными медицинскими организациями</t>
  </si>
  <si>
    <t xml:space="preserve">      5.3 в условиях круглосуточного стационара (специализированная, в том числе высокотехнологичная, медицинская помощь) - всего, в том числе:</t>
  </si>
  <si>
    <t xml:space="preserve">       5.2 в условиях дневных стационаров (первичная медико-санитарная помощь, специализированная медицинская помощь) - всего, в том числе:</t>
  </si>
  <si>
    <t xml:space="preserve">      5.1 в амбулаторных условиях</t>
  </si>
  <si>
    <t xml:space="preserve">      для оказания медицинской помощи федеральными медицинскими организациями</t>
  </si>
  <si>
    <t xml:space="preserve">случаев лечения </t>
  </si>
  <si>
    <t xml:space="preserve">    3.2  для оказания медицинской помощи при экстракорпоральном оплодотворении - всего, в том числе:</t>
  </si>
  <si>
    <t xml:space="preserve">    3.1 для оказания медицинской помощи по профилю "онкология" - всего, в том числе:</t>
  </si>
  <si>
    <r>
      <t xml:space="preserve">      для оказания медицинской помощи медицинскими организациями (за исключением федеральных медицинских организаций)</t>
    </r>
    <r>
      <rPr>
        <vertAlign val="superscript"/>
        <sz val="12"/>
        <rFont val="Times New Roman"/>
        <family val="1"/>
        <charset val="204"/>
      </rPr>
      <t>2</t>
    </r>
  </si>
  <si>
    <t xml:space="preserve">3. В условиях дневных стационаров (первичная медико-санитарная помощь,  специализированная медицинская помощь),  за исключением медицинской реабилитации -   всего,  в том числе: </t>
  </si>
  <si>
    <t xml:space="preserve">     2.1.2.1 для проведения углубленной диспансеризации</t>
  </si>
  <si>
    <t xml:space="preserve">       2.1.1 посещения в рамках проведения профилактических медицинских осмотров</t>
  </si>
  <si>
    <t>Перерасчет нормативов в посещениях ФФОМС</t>
  </si>
  <si>
    <t>подушевой ОМС</t>
  </si>
  <si>
    <t>II. В рамках базовой программы обязательного медицинского страхования</t>
  </si>
  <si>
    <t>Доля расходов на ненормир. виды МП с дифференцированным коээфициентом з/п 1,098, прочие расходы - 1,045</t>
  </si>
  <si>
    <t>2.2. В условиях круглосуточного стационара</t>
  </si>
  <si>
    <t>2. Специализированная, в том числе высокотехнологичная, медицинская помощь</t>
  </si>
  <si>
    <t>1.1  В амбулаторных условиях:</t>
  </si>
  <si>
    <t>Фактические расходы на ед. объема с дефлятором 1,04</t>
  </si>
  <si>
    <t>1. Первичная медико-санитарная помощь</t>
  </si>
  <si>
    <t>I. За счет бюджетных ассигнований соответствующих бюджетов &lt;1&gt;</t>
  </si>
  <si>
    <t>Подушевые нормативы финансирования (на 1 жителя),  рублей</t>
  </si>
  <si>
    <t>Средние нормативы финансовых затрат на единицу объема медицинской помощи,  рублей.</t>
  </si>
  <si>
    <t>Средние нормативы объема медицинской помощи</t>
  </si>
  <si>
    <t>Средние нормативы финансовых затрат на единицу объема медицинской помощи,  рублей</t>
  </si>
  <si>
    <t>Средние нормативы финансовых затрат на единицу объема медицинской помощи, рублей</t>
  </si>
  <si>
    <t>Единица измерения                          на 1 жителя</t>
  </si>
  <si>
    <r>
      <t>Виды и условия оказания медицинской помощи</t>
    </r>
    <r>
      <rPr>
        <vertAlign val="superscript"/>
        <sz val="11"/>
        <color indexed="8"/>
        <rFont val="Times New Roman"/>
        <family val="1"/>
        <charset val="204"/>
      </rPr>
      <t>1</t>
    </r>
  </si>
  <si>
    <r>
      <t xml:space="preserve">                                                                 </t>
    </r>
    <r>
      <rPr>
        <sz val="11"/>
        <color theme="1"/>
        <rFont val="Times New Roman"/>
        <family val="1"/>
        <charset val="204"/>
      </rPr>
      <t>Приложение № 2
к Программе государственных гарантий бесплатного оказания гражданам медицинской помощи на 2025 год и на плановый период  2026 и 2027 годов</t>
    </r>
  </si>
  <si>
    <t xml:space="preserve">СРЕДНИЕ НОРМАТИВЫ ОБЪЕМА ОКАЗАНИЯ И СРЕДНИЕ НОРМАТИВЫ ФИНАНСОВЫХ ЗАТРАТ НА ЕДИНИЦУ ОБЪЕМА МЕДИЦИНСКОЙ ПОМОЩИ  НА 2025 - 2027 ГОДЫ </t>
  </si>
  <si>
    <t xml:space="preserve">     2.1.3 Диспансеризация для оценки репродуктивного здоровья женщин и мужчин</t>
  </si>
  <si>
    <t xml:space="preserve">     2.1.4 посещения с иными целями</t>
  </si>
  <si>
    <t xml:space="preserve">     2.1.5 Посещения по неотложной помощи</t>
  </si>
  <si>
    <t xml:space="preserve">     2.1.6 Обращения в связи с заболеваниями -  всего, из них:</t>
  </si>
  <si>
    <r>
      <t xml:space="preserve">   </t>
    </r>
    <r>
      <rPr>
        <b/>
        <sz val="10.5"/>
        <rFont val="Times New Roman"/>
        <family val="1"/>
        <charset val="204"/>
      </rPr>
      <t xml:space="preserve"> 3.3  для оказания медициснкой помощи больным с вирусным гепатитом С  медицинскими организациями (за исключением федеральных медицинских организаций)</t>
    </r>
  </si>
  <si>
    <t xml:space="preserve">   для оказания медицинской помощи федеральными медицинскими организациями</t>
  </si>
  <si>
    <t xml:space="preserve">   для оказания медицинской помощи медицинскими организациями (за исключением федеральных медицинских организаций)</t>
  </si>
  <si>
    <t xml:space="preserve">    4.1 для оказания медицинской помощи по профилю "онкология" - всего, в том числе:</t>
  </si>
  <si>
    <t xml:space="preserve">   федеральными медицинскими организациями</t>
  </si>
  <si>
    <t xml:space="preserve">   медицинскими организациями (за исключением федеральных медицинских организаций)</t>
  </si>
  <si>
    <t xml:space="preserve">   4.2 стентирование для больных с инфарктом миокарда медицинскими организациями (за исключением федеральных медицинских организаций)</t>
  </si>
  <si>
    <r>
      <t xml:space="preserve">Принято к оплате медицинской помощи, оказанной лицам, застрахованным по обязательному медицинскому страхованию, с учетом проведения медико-экономического контроля </t>
    </r>
    <r>
      <rPr>
        <b/>
        <sz val="14"/>
        <rFont val="Times New Roman"/>
        <family val="1"/>
        <charset val="204"/>
      </rPr>
      <t xml:space="preserve">Отчет получен </t>
    </r>
    <r>
      <rPr>
        <b/>
        <sz val="14"/>
        <color rgb="FFFF0000"/>
        <rFont val="Times New Roman"/>
        <family val="1"/>
        <charset val="204"/>
      </rPr>
      <t>29.07.2024 15:29:03</t>
    </r>
  </si>
  <si>
    <t>Ритм сердца</t>
  </si>
  <si>
    <t>Прогнозный норматив финансовых затрат (вариант 1): Размер тарифа на ДН на 1 месяц (без учета Кдиф), руб.</t>
  </si>
  <si>
    <r>
      <t xml:space="preserve">Справочно: расчетный объем средств на использование систем дистанционного наблюдения (СИС ДН) в месяц (из расчета 62,00 руб./мес. в 2025 году)** (с учетом Кдиф), руб.
</t>
    </r>
    <r>
      <rPr>
        <i/>
        <sz val="11"/>
        <color rgb="FFC00000"/>
        <rFont val="Times New Roman"/>
        <family val="1"/>
        <charset val="204"/>
      </rPr>
      <t>В тариф ОМС указанные расходы 
не включены.</t>
    </r>
  </si>
  <si>
    <t>Прогнозный норматив финансовых затрат (вариант 2): Объем средств в год в расчете на одного пациента, руб. (усредненно без учета Кдиф)</t>
  </si>
  <si>
    <t>Прогнозный норматив объема (вариант 1)***:
количество пациенто-месяцев ДН</t>
  </si>
  <si>
    <t>Прогнозный норматив объема (вариант 2)***:
количество пациентов, подлежащих ДН</t>
  </si>
  <si>
    <r>
      <t xml:space="preserve">Справочно: прогнозный объем средств на оплату использования систем дистанционного наблюдения (СИС ДН) в месяц (в случае принятия решения о включении СИС ДН в тариф ОМС) (с учетом Кдиф), руб.
</t>
    </r>
    <r>
      <rPr>
        <i/>
        <sz val="11"/>
        <color rgb="FFC00000"/>
        <rFont val="Times New Roman"/>
        <family val="1"/>
        <charset val="204"/>
      </rPr>
      <t>В тарифы ОМС указанные расходы 
не включены.</t>
    </r>
  </si>
  <si>
    <r>
      <t xml:space="preserve">** - стоимость СИС ДН в месяц с учетом предлагаемой плоской стоимости по данным НМИЦК им. ак. Е.И. Чазова от 17.05.2024 № 01/1032 и НМИЦ эндокринологии от 07.06.2024 № 3/1266/24. </t>
    </r>
    <r>
      <rPr>
        <b/>
        <sz val="11"/>
        <color rgb="FFC00000"/>
        <rFont val="Times New Roman"/>
        <family val="1"/>
        <charset val="204"/>
      </rPr>
      <t>В тарифы ОМС указанные расходы не включены.</t>
    </r>
  </si>
  <si>
    <t>Численность застрахованного населения на 01.01.2024 (по всей РФ а также в г. Байконур)*** (обновлено 23.08)</t>
  </si>
  <si>
    <t>на уровне факта с учетом нового КД и роста тарифов на 7,5%</t>
  </si>
  <si>
    <t>на уровне факта с учетом нового КД и роста тарифов на 10,0%</t>
  </si>
  <si>
    <t>Факт 6 месяцев 2024 года (предъявленные)</t>
  </si>
  <si>
    <t>2025 проект (второй вариант)</t>
  </si>
  <si>
    <t>Факт 6 месяцев 2024 года с фактическим КД (предъявленные)</t>
  </si>
  <si>
    <t>Факт 6 месяцев 2024 года без расчетного КД (1,1983525)</t>
  </si>
  <si>
    <t>2025 проект с КД 1,188555669 + рост на  % по социально-экономическому прогнозу (второй вариант)</t>
  </si>
  <si>
    <t>2025 проект в ПГГ без КД но с приростом по социально-экономическому прогнозу (второй вариант)</t>
  </si>
  <si>
    <t>Факт 6 месяцев 2024 года (предъвленные)</t>
  </si>
  <si>
    <t>на уровне факта с учетом нового КД и роста тарифов на 10,0% + коррекция за счет погружения эндоваскулярной коррекции</t>
  </si>
  <si>
    <t>4.2 Эндоваскулярная, хирургическая коррекция нарушений ритма сердца без имплантации кардиовертера-дефибриллятора</t>
  </si>
  <si>
    <r>
      <t>Средства ФГУ на оказание медицинской помощи в рамках базовой программы ОМС</t>
    </r>
    <r>
      <rPr>
        <i/>
        <sz val="20"/>
        <rFont val="Times New Roman"/>
        <family val="1"/>
        <charset val="204"/>
      </rPr>
      <t xml:space="preserve"> (увеличение на темп роста подушевого норматива)</t>
    </r>
  </si>
  <si>
    <r>
      <t xml:space="preserve">Средства ФГУ на оказание медицинской помощи по III перечню </t>
    </r>
    <r>
      <rPr>
        <i/>
        <sz val="20"/>
        <rFont val="Times New Roman"/>
        <family val="1"/>
        <charset val="204"/>
      </rPr>
      <t>(рост на индекс потребительских цен)</t>
    </r>
  </si>
  <si>
    <t>* - при расчете субвенции ФОМС применяется коэффициент дифференциации, поэтому в случае, если расходы на СИС ДН и Платформу "ПМП" включаются в состав субвенции, реальный объем затрат ФОМС будет определяться с учетом Кдиф (средневзвешенный коэффициент дифференциации на 2025 год - 1,19217109181441)</t>
  </si>
  <si>
    <t>*** с учетом численности застрахованного населения на 01.01.2024 (89 субъектов РФ и г. Байконур) без новых регионов</t>
  </si>
  <si>
    <t>на уровне факта с учетом нового КД и роста тарифов + коррекция за счет погружения эндоваскулярной коррекции</t>
  </si>
  <si>
    <t>индексация факта</t>
  </si>
  <si>
    <t>2025 проект (четвертый вариант)</t>
  </si>
  <si>
    <t>2025 проект с КД 1,19217109181441</t>
  </si>
  <si>
    <t>2025 проект с КД 1,19217109181441 + рост на  % по социально-экономическому прогнозу (четвертый вариант)</t>
  </si>
  <si>
    <t>2025 проект в ПГГ без КД но с приростом по социально-экономическому прогнозу (четвертый вариант)</t>
  </si>
  <si>
    <t>на уровне прогноза 2024 + убыль численности</t>
  </si>
  <si>
    <t>на уровне прогноза 2024 + убыль численности + эндоваскулярная коррекция</t>
  </si>
  <si>
    <t xml:space="preserve">     2.1.7.1 компьютерная томография</t>
  </si>
  <si>
    <t xml:space="preserve">     2.1.7.2 магнитно-резонансная томография </t>
  </si>
  <si>
    <t xml:space="preserve">     2.1.7.3 ультразвуковое исследование сердечно-сосудистой системы</t>
  </si>
  <si>
    <t xml:space="preserve">     2.1.7.4 эндоскопическое диагностическое исследование</t>
  </si>
  <si>
    <t xml:space="preserve">     2.1.7.5 молекулярно-генетическое исследование с целью диагностики онкологических заболеваний</t>
  </si>
  <si>
    <t xml:space="preserve">     2.1.7.6 патолого-анатомическое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</si>
  <si>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 xml:space="preserve">    2.1.7.7 ПЭТ-КТ при онкологических заболеваниях</t>
  </si>
  <si>
    <t xml:space="preserve">    2.1.7.8 школа сахарного диабета</t>
  </si>
  <si>
    <t xml:space="preserve">    2.1.7.9 ОФЭКТ/КТ</t>
  </si>
  <si>
    <t>2.1.8.1 онкологических заболеваний</t>
  </si>
  <si>
    <t>2.1.8.2 сахарного диабета</t>
  </si>
  <si>
    <t>2.1.8.3 болезней системы кровообращения</t>
  </si>
  <si>
    <t>Прирост (+;-)</t>
  </si>
  <si>
    <t>ПГГ № 2353</t>
  </si>
  <si>
    <t>НФЗ ПГГ № 2497 (на 2023 год)</t>
  </si>
  <si>
    <t>НФЗ ПГГ № 2353 (на 2024 год) с учетом роста з/п до 17,8%</t>
  </si>
  <si>
    <t>% к 2023</t>
  </si>
  <si>
    <t>Факт 1 полугодия 2024</t>
  </si>
  <si>
    <t>НФЗ индексация ЗП</t>
  </si>
  <si>
    <t>НФЗ индексация прочих</t>
  </si>
  <si>
    <t>НФЗ индексация ЗП и прочих</t>
  </si>
  <si>
    <t>Комментарий</t>
  </si>
  <si>
    <t>ПНФз индексация ЗП</t>
  </si>
  <si>
    <t>ПНФз индексация прочих</t>
  </si>
  <si>
    <t>ПНФз индексация ЗП и прочих</t>
  </si>
  <si>
    <t>ПГГ № 2353 без КД и Кдост</t>
  </si>
  <si>
    <t>ПГГ № 2353 с КД и Кдост</t>
  </si>
  <si>
    <t>Субвенция проект 2025 индексация ЗП</t>
  </si>
  <si>
    <t>Субвенция проект 2025 индексация прочих</t>
  </si>
  <si>
    <t>Субвенция проект ПГГ 2025 индексация ЗП и прочих без КД и Кдост</t>
  </si>
  <si>
    <t>Субвенция проект ПГГ 2025 индексация ЗП и прочих с КД и Кдост</t>
  </si>
  <si>
    <t>Прирост (+;-) всего</t>
  </si>
  <si>
    <t>в том числе индексация</t>
  </si>
  <si>
    <t>в т.ч. Кдиф</t>
  </si>
  <si>
    <t>в т.ч. Кдост</t>
  </si>
  <si>
    <t>Прочее</t>
  </si>
  <si>
    <t>индексации всего</t>
  </si>
  <si>
    <t>проверка</t>
  </si>
  <si>
    <t>индексация НФЗ</t>
  </si>
  <si>
    <t xml:space="preserve">индексация факта </t>
  </si>
  <si>
    <t>индексация факта + индексация НФЗ прочих</t>
  </si>
  <si>
    <t>Субвенция на 2024</t>
  </si>
  <si>
    <t>Субвенция на 2025 год</t>
  </si>
  <si>
    <t>Прирост субвенции</t>
  </si>
  <si>
    <t>Прирост индексация с Кд и Кдост всего</t>
  </si>
  <si>
    <t>Дельта</t>
  </si>
  <si>
    <t>Доп. Потребность</t>
  </si>
  <si>
    <t>Не распределенные</t>
  </si>
  <si>
    <t>Тер. Программа</t>
  </si>
  <si>
    <t>Обращения</t>
  </si>
  <si>
    <t>исследования</t>
  </si>
  <si>
    <t>всего</t>
  </si>
  <si>
    <t>факт 2023</t>
  </si>
  <si>
    <t>6 мес 2024</t>
  </si>
  <si>
    <t>6 мес 2023</t>
  </si>
  <si>
    <t>субвенция с исследованиями</t>
  </si>
  <si>
    <t>субв исследования</t>
  </si>
  <si>
    <t>субв без  исследований</t>
  </si>
  <si>
    <t>объем обращений</t>
  </si>
  <si>
    <t>довели до факта</t>
  </si>
  <si>
    <t>тоже вопрос</t>
  </si>
  <si>
    <t>7 мес 2024</t>
  </si>
  <si>
    <t>к году по 7 мес</t>
  </si>
  <si>
    <t xml:space="preserve">случаи с исследованиями </t>
  </si>
  <si>
    <t>средняя стоимстоть без исследований</t>
  </si>
  <si>
    <t xml:space="preserve"> субвенция с цз</t>
  </si>
  <si>
    <t>субвенция цз</t>
  </si>
  <si>
    <t xml:space="preserve"> субвенция без цз</t>
  </si>
  <si>
    <t>объемы без цз</t>
  </si>
  <si>
    <t>норматив обращений без цз</t>
  </si>
  <si>
    <t>медреаб в дс по данным Кравчук</t>
  </si>
  <si>
    <t>в т.ч. Кдиф и Кдост</t>
  </si>
  <si>
    <t>единиц</t>
  </si>
  <si>
    <t>Не распределено млрд.руб.</t>
  </si>
  <si>
    <t>Расчетная БС для ПГГ</t>
  </si>
  <si>
    <t>Доля БС от НФЗ 2025</t>
  </si>
  <si>
    <t>Справочно: рост, руб.</t>
  </si>
  <si>
    <t>Минимальная расчетная БС для включения в ПГГ</t>
  </si>
  <si>
    <t>Справочно: "лишний" рост</t>
  </si>
  <si>
    <t>Справочно: рост, %</t>
  </si>
  <si>
    <t>Возраст год/лет</t>
  </si>
  <si>
    <t>Женщины</t>
  </si>
  <si>
    <t>Мужчины</t>
  </si>
  <si>
    <t>женщины 18-49</t>
  </si>
  <si>
    <t>мужчина 18-49</t>
  </si>
  <si>
    <t>не распределено средств субвенции</t>
  </si>
  <si>
    <t xml:space="preserve">     2.1.7 проведение отдельных диагностических (лабораторных) исследований: </t>
  </si>
  <si>
    <r>
      <t xml:space="preserve">Сведения о численности застрахованных по ОМС лиц 
на территории Российской Федерации по состоянию на 01.01.2024
</t>
    </r>
    <r>
      <rPr>
        <sz val="11"/>
        <color theme="1"/>
        <rFont val="Times New Roman"/>
        <family val="1"/>
        <charset val="204"/>
      </rPr>
      <t>(по всем субъектам Российской Федерации, за исключением Донецкой Народной Республики, Луганской Народной Республики, Запорожской области и Херсонской области)</t>
    </r>
  </si>
  <si>
    <t>Возраст</t>
  </si>
  <si>
    <t>Диспансеризация</t>
  </si>
  <si>
    <t>плюс дети сироты</t>
  </si>
  <si>
    <t>Охват 70%</t>
  </si>
  <si>
    <t>ПМО</t>
  </si>
  <si>
    <t>Дисп</t>
  </si>
  <si>
    <t>18, 21, 24, 27, 30, 33, 36, 39 и от 40 и страрше + дети сироты 375 тыс.</t>
  </si>
  <si>
    <t>Проф. Осмотры</t>
  </si>
  <si>
    <t>минус дети сироты</t>
  </si>
  <si>
    <t>все остальные - дети сироты 375 тыс.</t>
  </si>
  <si>
    <t>Информация об объемах и нормативах финансовых затрат на проведение профилактических мероприятий и диспансеризации</t>
  </si>
  <si>
    <t>Объем средств</t>
  </si>
  <si>
    <t>Объем по нормативу</t>
  </si>
  <si>
    <t>2025 проект ПГГ</t>
  </si>
  <si>
    <t>Объем средств (тыс. руб.)</t>
  </si>
  <si>
    <t>2025 проект ПГГ (тыс. руб.)</t>
  </si>
  <si>
    <t>НФЗ, %</t>
  </si>
  <si>
    <t>10
 (гр.6 - гр. 2)</t>
  </si>
  <si>
    <t>11
 (гр.4 / гр. 8)</t>
  </si>
  <si>
    <t>12 
(гр. 9 - гр. 5)</t>
  </si>
  <si>
    <t xml:space="preserve">2.1.1 Посещения в рамках проведения профилактических медицинских осмотров* </t>
  </si>
  <si>
    <t>2.1.2 Посещения в рамках проведения диспансеризации**</t>
  </si>
  <si>
    <t>70% от численности</t>
  </si>
  <si>
    <t>*Профилактические медицинские осмотры - учитывалась численность застрахованных по ОМС лиц на территории Российской Федерации по состоянию на 01.01.2024 в возрасте от 0 лет до 17 и в возрасте 19, 20, 22, 23, 25, 26, 28, 29, 31, 32, 34, 35, 37, 38 лет, за исключением детей сирот (375,0 тыс. человек) -  54 869 357 человек. Согласно паспорту Федерального проекта "Развитие системы оказания первичной медико санитарной помощи" охват 70% от численности лиц подлежащих ПМО и составляет - 38 363 594 человек.</t>
  </si>
  <si>
    <t>**Диспасеризация - учитывалась численность застрахованных по ОМС лиц на территории Российской Федерации по состоянию на 01.01.2024 в возрасте 18, 21, 24, 27, 30, 33, 36, 39 и от 40 лет и страрше, с учетом детей сирот (375,0 тыс. человек) -  88 927 859 человек. Согласно паспорту Федерального проекта "Развитие системы оказания первичной медико санитарной помощи" охват 70% от численности лиц подлежащих диспансеризации и составляет - 62 176 641 человек.</t>
  </si>
  <si>
    <t>С учетом пересчета численности по нормативам, дополнительная потребность, по сравнению с проектом ПГГ на 2025 год, составляет - 4,5 млрд. руб.</t>
  </si>
  <si>
    <t xml:space="preserve">   4.4 эндоваскулярная деструкция дополнительных проводящих путей и аритмогенных зон сердца</t>
  </si>
  <si>
    <t xml:space="preserve">  4.3 имплантация частотно-адаптированного кардиостимулятора взрослым медицинскими организациями (за исключением федеральных медицинских организаций)</t>
  </si>
  <si>
    <t>4.5 стентирование / эндартерэктомия медицинскими организациями (за исключением федеральных медицинских организаций)</t>
  </si>
  <si>
    <t xml:space="preserve">       в том числе для детского населения</t>
  </si>
  <si>
    <t xml:space="preserve">  в том числе для детского населения</t>
  </si>
  <si>
    <t xml:space="preserve">    2.1.9 посещения с профилактическими целями центров здоровья</t>
  </si>
  <si>
    <t>Объем с перспомощников</t>
  </si>
  <si>
    <t xml:space="preserve">3.2. Паллиативная медицинская помощь в стационарных условиях (включая койки паллиативной медицинской помощи и койки сестринского ухода), в том числе ветеранам боевых действий </t>
  </si>
  <si>
    <r>
      <t xml:space="preserve">1.1.1) с профилактической и иными целями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</si>
  <si>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1.1.2) в связи с заболеваниями – обращений </t>
    </r>
    <r>
      <rPr>
        <vertAlign val="superscript"/>
        <sz val="10"/>
        <rFont val="Calibri"/>
        <family val="2"/>
        <charset val="204"/>
      </rPr>
      <t>3</t>
    </r>
  </si>
  <si>
    <r>
      <t>1.2. В условиях дневных стационаров</t>
    </r>
    <r>
      <rPr>
        <vertAlign val="superscript"/>
        <sz val="11"/>
        <rFont val="Times New Roman"/>
        <family val="1"/>
        <charset val="204"/>
      </rPr>
      <t>4</t>
    </r>
  </si>
  <si>
    <r>
      <t>2.1 В условиях дневного стационара</t>
    </r>
    <r>
      <rPr>
        <vertAlign val="superscript"/>
        <sz val="11"/>
        <rFont val="Times New Roman"/>
        <family val="1"/>
        <charset val="204"/>
      </rPr>
      <t>4</t>
    </r>
  </si>
  <si>
    <r>
      <t>3. Паллиативная медицинская помощь</t>
    </r>
    <r>
      <rPr>
        <b/>
        <vertAlign val="superscript"/>
        <sz val="11"/>
        <rFont val="Times New Roman"/>
        <family val="1"/>
        <charset val="204"/>
      </rPr>
      <t>5</t>
    </r>
  </si>
  <si>
    <r>
      <t>3.1. Первичная медицинская помощь, в том числе доврачебная и врачебная</t>
    </r>
    <r>
      <rPr>
        <vertAlign val="superscript"/>
        <sz val="11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(включая ветаранов боевых действий), всего, в том числе:</t>
    </r>
  </si>
  <si>
    <r>
      <t>посещение по паллиативной медицинской помощи без учета посещений на дому патронажными бригадами</t>
    </r>
    <r>
      <rPr>
        <i/>
        <vertAlign val="superscript"/>
        <sz val="10"/>
        <rFont val="Times New Roman"/>
        <family val="1"/>
        <charset val="204"/>
      </rPr>
      <t>6</t>
    </r>
  </si>
  <si>
    <r>
      <t>посещения на дому выездными патронажными бригадами</t>
    </r>
    <r>
      <rPr>
        <i/>
        <vertAlign val="superscript"/>
        <sz val="10"/>
        <rFont val="Times New Roman"/>
        <family val="1"/>
        <charset val="204"/>
      </rPr>
      <t>6</t>
    </r>
  </si>
  <si>
    <r>
      <t xml:space="preserve">     </t>
    </r>
    <r>
      <rPr>
        <b/>
        <i/>
        <sz val="12"/>
        <rFont val="Times New Roman"/>
        <family val="1"/>
        <charset val="204"/>
      </rPr>
      <t xml:space="preserve"> 2.1 в амбулаторных условиях, в том числе:</t>
    </r>
  </si>
  <si>
    <r>
      <t xml:space="preserve">      2.1.2 посещения в рамках проведения диспансеризации</t>
    </r>
    <r>
      <rPr>
        <vertAlign val="superscript"/>
        <sz val="11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>- всего, в том числе:</t>
    </r>
  </si>
  <si>
    <r>
      <t xml:space="preserve">    2.1.8 диспансерное наблюдение</t>
    </r>
    <r>
      <rPr>
        <vertAlign val="superscript"/>
        <sz val="11"/>
        <rFont val="Times New Roman"/>
        <family val="1"/>
        <charset val="204"/>
      </rPr>
      <t>7</t>
    </r>
    <r>
      <rPr>
        <sz val="11"/>
        <rFont val="Times New Roman"/>
        <family val="1"/>
        <charset val="204"/>
      </rPr>
      <t>, в том числе по поводу:</t>
    </r>
  </si>
  <si>
    <t xml:space="preserve">7 Нормативы объема медицинской  помощи и финансовых затрат включают в себя в том числе объем диспансеризации (не менее 0,000078 комплексных посещений) и диспансерного наблюдения детей (не менее 0,000157), проживающих в организациях социального обслуживания (детских домах-интернатах), предоставляющих социальные услуги в стационарной форме. Субъект Российской Федерации вправе корректировать размер территориального норматива объема с учетом реальной потребности населения. Территориальный норматив финансовых затрат на 2025-2027 гг. субъект Российской Федерации устанавливает самостоятельно на основе порядка, установленного Минздравом России с учетом возраста.                
Средний норматив финансовых затрат на одно комплексное посещение в рамках диспансерного наблюдения работающих граждан составляет в 2025 году - 2661,1 рубля, в 2026 году - 2897,3 рубля, в 2027 году - 3110,6 рубля.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</si>
</sst>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0.0"/>
    <numFmt numFmtId="167" formatCode="#,##0.000000"/>
    <numFmt numFmtId="168" formatCode="#,##0.00000"/>
    <numFmt numFmtId="169" formatCode="#,##0.0000"/>
    <numFmt numFmtId="170" formatCode="0.00000"/>
    <numFmt numFmtId="171" formatCode="#,##0.00000000"/>
    <numFmt numFmtId="172" formatCode="###\ ###\ ###\ ##0"/>
    <numFmt numFmtId="173" formatCode="#,##0.000"/>
    <numFmt numFmtId="174" formatCode="0.000"/>
    <numFmt numFmtId="175" formatCode="0.0000"/>
    <numFmt numFmtId="176" formatCode="###\ ###\ ###\ ##0.0"/>
    <numFmt numFmtId="177" formatCode="###\ ###\ ###\ ##0.00"/>
    <numFmt numFmtId="178" formatCode="#,##0.00_ ;[Red]\-#,##0.00\ "/>
    <numFmt numFmtId="180" formatCode="#,##0.00000_ ;[Red]\-#,##0.00000\ "/>
    <numFmt numFmtId="182" formatCode="0.0%"/>
    <numFmt numFmtId="183" formatCode="#,##0.0000000"/>
    <numFmt numFmtId="184" formatCode="#,##0.0_ ;[Red]\-#,##0.0\ "/>
    <numFmt numFmtId="185" formatCode="#,##0_ ;[Red]\-#,##0\ "/>
    <numFmt numFmtId="186" formatCode="0.000000"/>
    <numFmt numFmtId="187" formatCode="#,##0.000000000"/>
    <numFmt numFmtId="189" formatCode="#,##0.000000_ ;[Red]\-#,##0.000000\ "/>
    <numFmt numFmtId="190" formatCode="###.##\ ###\ ##0"/>
    <numFmt numFmtId="191" formatCode="_-* #,##0.00000_-;\-* #,##0.00000_-;_-* &quot;-&quot;??_-;_-@_-"/>
    <numFmt numFmtId="192" formatCode="_-* #,##0_-;\-* #,##0_-;_-* &quot;-&quot;??_-;_-@_-"/>
    <numFmt numFmtId="194" formatCode="###.#\ ###\ ##0"/>
  </numFmts>
  <fonts count="19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0"/>
      <name val="Arial Cyr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Arial Cyr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2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b/>
      <i/>
      <sz val="16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24"/>
      <name val="Times New Roman"/>
      <family val="1"/>
      <charset val="204"/>
    </font>
    <font>
      <sz val="8"/>
      <name val="Arial Cyr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</font>
    <font>
      <b/>
      <sz val="9"/>
      <name val="Times New Roman"/>
      <family val="1"/>
      <charset val="204"/>
    </font>
    <font>
      <sz val="20"/>
      <color indexed="81"/>
      <name val="Tahoma"/>
      <family val="2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2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4"/>
      <color theme="1"/>
      <name val="Calibri"/>
      <family val="2"/>
      <scheme val="minor"/>
    </font>
    <font>
      <i/>
      <sz val="11"/>
      <color theme="1"/>
      <name val="Calibri Light"/>
      <family val="2"/>
      <charset val="204"/>
      <scheme val="maj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9"/>
      <color rgb="FF002060"/>
      <name val="Times New Roman"/>
      <family val="1"/>
      <charset val="204"/>
    </font>
    <font>
      <u/>
      <sz val="10"/>
      <color theme="10"/>
      <name val="Arial Cyr"/>
      <charset val="204"/>
    </font>
    <font>
      <b/>
      <i/>
      <sz val="11"/>
      <color theme="1"/>
      <name val="Times New Roman"/>
      <family val="1"/>
      <charset val="204"/>
    </font>
    <font>
      <sz val="2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8"/>
      <color theme="4" tint="-0.249977111117893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6"/>
      <color theme="4" tint="-0.249977111117893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4"/>
      <color rgb="FF0070C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0.5"/>
      <name val="Times New Roman"/>
      <family val="1"/>
      <charset val="204"/>
    </font>
    <font>
      <i/>
      <sz val="10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color rgb="FFFF33CC"/>
      <name val="Calibri"/>
      <family val="2"/>
      <charset val="204"/>
      <scheme val="minor"/>
    </font>
    <font>
      <b/>
      <sz val="16"/>
      <color rgb="FFFF33CC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sz val="13"/>
      <name val="Times New Roman"/>
      <family val="1"/>
      <charset val="204"/>
    </font>
    <font>
      <sz val="16"/>
      <name val="Calibri"/>
      <family val="2"/>
      <scheme val="minor"/>
    </font>
    <font>
      <b/>
      <sz val="24"/>
      <color theme="9" tint="0.7999816888943144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trike/>
      <sz val="18"/>
      <color theme="1"/>
      <name val="Times New Roman"/>
      <family val="1"/>
      <charset val="204"/>
    </font>
    <font>
      <b/>
      <i/>
      <strike/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</font>
    <font>
      <strike/>
      <sz val="1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vertAlign val="superscript"/>
      <sz val="10"/>
      <name val="Times New Roman"/>
      <family val="1"/>
      <charset val="204"/>
    </font>
    <font>
      <vertAlign val="superscript"/>
      <sz val="10"/>
      <name val="Calibri"/>
      <family val="2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29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32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2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2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2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2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7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4" fontId="13" fillId="0" borderId="0" applyFont="0" applyFill="0" applyBorder="0" applyAlignment="0" applyProtection="0"/>
    <xf numFmtId="0" fontId="68" fillId="0" borderId="0"/>
    <xf numFmtId="0" fontId="12" fillId="0" borderId="0"/>
    <xf numFmtId="0" fontId="12" fillId="0" borderId="0"/>
    <xf numFmtId="0" fontId="70" fillId="0" borderId="0"/>
    <xf numFmtId="0" fontId="71" fillId="0" borderId="0"/>
    <xf numFmtId="0" fontId="66" fillId="0" borderId="0"/>
    <xf numFmtId="0" fontId="11" fillId="0" borderId="0"/>
    <xf numFmtId="0" fontId="92" fillId="0" borderId="0"/>
    <xf numFmtId="9" fontId="71" fillId="0" borderId="0" applyFont="0" applyFill="0" applyBorder="0" applyAlignment="0" applyProtection="0"/>
    <xf numFmtId="0" fontId="66" fillId="0" borderId="0"/>
    <xf numFmtId="0" fontId="66" fillId="0" borderId="0"/>
    <xf numFmtId="0" fontId="119" fillId="0" borderId="0"/>
    <xf numFmtId="0" fontId="136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4" fontId="71" fillId="0" borderId="0" applyFont="0" applyFill="0" applyBorder="0" applyAlignment="0" applyProtection="0"/>
    <xf numFmtId="0" fontId="9" fillId="0" borderId="0"/>
    <xf numFmtId="0" fontId="161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79" fillId="0" borderId="0"/>
    <xf numFmtId="0" fontId="71" fillId="0" borderId="0"/>
    <xf numFmtId="0" fontId="3" fillId="0" borderId="0"/>
    <xf numFmtId="0" fontId="3" fillId="0" borderId="0"/>
    <xf numFmtId="0" fontId="3" fillId="0" borderId="0"/>
    <xf numFmtId="164" fontId="7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80" fillId="0" borderId="0"/>
    <xf numFmtId="16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57" fillId="0" borderId="0"/>
    <xf numFmtId="0" fontId="1" fillId="0" borderId="0"/>
    <xf numFmtId="0" fontId="1" fillId="0" borderId="0"/>
  </cellStyleXfs>
  <cellXfs count="1759">
    <xf numFmtId="0" fontId="0" fillId="0" borderId="0" xfId="0"/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wrapText="1"/>
      <protection locked="0"/>
    </xf>
    <xf numFmtId="49" fontId="35" fillId="0" borderId="10" xfId="0" applyNumberFormat="1" applyFont="1" applyBorder="1" applyAlignment="1">
      <alignment wrapText="1"/>
    </xf>
    <xf numFmtId="0" fontId="33" fillId="0" borderId="0" xfId="0" applyFont="1" applyAlignment="1">
      <alignment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36" fillId="33" borderId="0" xfId="0" applyFont="1" applyFill="1"/>
    <xf numFmtId="0" fontId="39" fillId="33" borderId="0" xfId="0" applyFont="1" applyFill="1" applyAlignment="1">
      <alignment horizontal="right"/>
    </xf>
    <xf numFmtId="0" fontId="39" fillId="0" borderId="0" xfId="0" applyFont="1"/>
    <xf numFmtId="3" fontId="39" fillId="0" borderId="14" xfId="0" applyNumberFormat="1" applyFont="1" applyBorder="1" applyAlignment="1">
      <alignment horizontal="right"/>
    </xf>
    <xf numFmtId="0" fontId="39" fillId="33" borderId="0" xfId="0" applyFont="1" applyFill="1"/>
    <xf numFmtId="0" fontId="33" fillId="33" borderId="0" xfId="0" applyFont="1" applyFill="1"/>
    <xf numFmtId="3" fontId="36" fillId="0" borderId="11" xfId="0" applyNumberFormat="1" applyFont="1" applyBorder="1" applyProtection="1">
      <protection locked="0"/>
    </xf>
    <xf numFmtId="3" fontId="33" fillId="0" borderId="14" xfId="0" applyNumberFormat="1" applyFont="1" applyBorder="1" applyAlignment="1" applyProtection="1">
      <alignment wrapText="1"/>
      <protection locked="0"/>
    </xf>
    <xf numFmtId="0" fontId="40" fillId="33" borderId="0" xfId="0" applyFont="1" applyFill="1" applyAlignment="1">
      <alignment horizontal="left"/>
    </xf>
    <xf numFmtId="0" fontId="40" fillId="33" borderId="0" xfId="0" applyFont="1" applyFill="1" applyAlignment="1">
      <alignment horizontal="right"/>
    </xf>
    <xf numFmtId="0" fontId="40" fillId="33" borderId="0" xfId="0" applyFont="1" applyFill="1" applyProtection="1">
      <protection locked="0"/>
    </xf>
    <xf numFmtId="0" fontId="40" fillId="33" borderId="0" xfId="0" applyFont="1" applyFill="1"/>
    <xf numFmtId="0" fontId="41" fillId="33" borderId="0" xfId="0" applyFont="1" applyFill="1" applyAlignment="1">
      <alignment horizontal="left"/>
    </xf>
    <xf numFmtId="3" fontId="40" fillId="33" borderId="14" xfId="0" applyNumberFormat="1" applyFont="1" applyFill="1" applyBorder="1"/>
    <xf numFmtId="0" fontId="40" fillId="33" borderId="0" xfId="0" applyFont="1" applyFill="1" applyAlignment="1" applyProtection="1">
      <alignment horizontal="center"/>
      <protection locked="0"/>
    </xf>
    <xf numFmtId="0" fontId="39" fillId="33" borderId="0" xfId="0" applyFont="1" applyFill="1" applyAlignment="1">
      <alignment horizontal="left"/>
    </xf>
    <xf numFmtId="0" fontId="33" fillId="33" borderId="0" xfId="0" applyFont="1" applyFill="1" applyAlignment="1">
      <alignment horizontal="center"/>
    </xf>
    <xf numFmtId="0" fontId="41" fillId="33" borderId="0" xfId="0" applyFont="1" applyFill="1"/>
    <xf numFmtId="3" fontId="33" fillId="0" borderId="14" xfId="0" applyNumberFormat="1" applyFont="1" applyBorder="1" applyAlignment="1" applyProtection="1">
      <alignment horizontal="left"/>
      <protection locked="0"/>
    </xf>
    <xf numFmtId="3" fontId="33" fillId="0" borderId="14" xfId="0" applyNumberFormat="1" applyFont="1" applyBorder="1" applyAlignment="1" applyProtection="1">
      <alignment horizontal="center" wrapText="1"/>
      <protection locked="0"/>
    </xf>
    <xf numFmtId="49" fontId="35" fillId="0" borderId="13" xfId="0" applyNumberFormat="1" applyFont="1" applyBorder="1" applyAlignment="1">
      <alignment wrapText="1"/>
    </xf>
    <xf numFmtId="0" fontId="33" fillId="0" borderId="0" xfId="0" applyFont="1" applyAlignment="1" applyProtection="1">
      <alignment horizontal="left" vertical="top" wrapText="1"/>
      <protection locked="0"/>
    </xf>
    <xf numFmtId="0" fontId="40" fillId="33" borderId="0" xfId="0" applyFont="1" applyFill="1" applyAlignment="1">
      <alignment horizontal="center"/>
    </xf>
    <xf numFmtId="0" fontId="36" fillId="0" borderId="0" xfId="0" applyFont="1" applyAlignment="1" applyProtection="1">
      <alignment horizontal="left"/>
      <protection locked="0"/>
    </xf>
    <xf numFmtId="3" fontId="39" fillId="0" borderId="0" xfId="0" applyNumberFormat="1" applyFont="1" applyAlignment="1">
      <alignment horizontal="right"/>
    </xf>
    <xf numFmtId="3" fontId="36" fillId="0" borderId="0" xfId="0" applyNumberFormat="1" applyFont="1" applyProtection="1">
      <protection locked="0"/>
    </xf>
    <xf numFmtId="3" fontId="40" fillId="33" borderId="0" xfId="0" applyNumberFormat="1" applyFont="1" applyFill="1"/>
    <xf numFmtId="0" fontId="33" fillId="0" borderId="0" xfId="0" applyFont="1" applyAlignment="1">
      <alignment horizontal="right" wrapText="1"/>
    </xf>
    <xf numFmtId="3" fontId="42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 applyProtection="1">
      <alignment wrapText="1"/>
      <protection locked="0"/>
    </xf>
    <xf numFmtId="165" fontId="42" fillId="0" borderId="10" xfId="0" applyNumberFormat="1" applyFont="1" applyBorder="1" applyAlignment="1">
      <alignment horizontal="center" vertical="center" wrapText="1"/>
    </xf>
    <xf numFmtId="165" fontId="33" fillId="0" borderId="10" xfId="0" applyNumberFormat="1" applyFont="1" applyBorder="1" applyAlignment="1">
      <alignment horizontal="center" vertical="center" wrapText="1"/>
    </xf>
    <xf numFmtId="166" fontId="33" fillId="0" borderId="10" xfId="0" applyNumberFormat="1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>
      <alignment vertical="center" wrapText="1"/>
    </xf>
    <xf numFmtId="0" fontId="33" fillId="36" borderId="10" xfId="0" applyFont="1" applyFill="1" applyBorder="1" applyAlignment="1">
      <alignment vertical="center" wrapText="1"/>
    </xf>
    <xf numFmtId="0" fontId="33" fillId="36" borderId="10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33" fillId="36" borderId="15" xfId="0" applyFont="1" applyFill="1" applyBorder="1" applyAlignment="1">
      <alignment horizontal="center" vertical="center" wrapText="1"/>
    </xf>
    <xf numFmtId="0" fontId="33" fillId="36" borderId="16" xfId="0" applyFont="1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 wrapText="1"/>
    </xf>
    <xf numFmtId="0" fontId="0" fillId="36" borderId="12" xfId="0" applyFill="1" applyBorder="1" applyAlignment="1">
      <alignment horizontal="center" vertical="center" wrapText="1"/>
    </xf>
    <xf numFmtId="0" fontId="0" fillId="36" borderId="10" xfId="0" applyFill="1" applyBorder="1" applyAlignment="1">
      <alignment wrapText="1"/>
    </xf>
    <xf numFmtId="0" fontId="33" fillId="36" borderId="0" xfId="0" applyFont="1" applyFill="1" applyProtection="1">
      <protection locked="0"/>
    </xf>
    <xf numFmtId="169" fontId="42" fillId="0" borderId="10" xfId="0" applyNumberFormat="1" applyFont="1" applyBorder="1" applyAlignment="1">
      <alignment horizontal="center" vertical="center" wrapText="1"/>
    </xf>
    <xf numFmtId="168" fontId="42" fillId="0" borderId="10" xfId="0" applyNumberFormat="1" applyFont="1" applyBorder="1" applyAlignment="1">
      <alignment horizontal="center" vertical="center" wrapText="1"/>
    </xf>
    <xf numFmtId="3" fontId="33" fillId="36" borderId="15" xfId="0" applyNumberFormat="1" applyFont="1" applyFill="1" applyBorder="1" applyAlignment="1">
      <alignment horizontal="center" vertical="center" wrapText="1"/>
    </xf>
    <xf numFmtId="167" fontId="42" fillId="0" borderId="1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4" fontId="33" fillId="0" borderId="0" xfId="0" applyNumberFormat="1" applyFont="1" applyAlignment="1">
      <alignment wrapText="1"/>
    </xf>
    <xf numFmtId="4" fontId="33" fillId="0" borderId="10" xfId="0" applyNumberFormat="1" applyFont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wrapText="1"/>
    </xf>
    <xf numFmtId="4" fontId="42" fillId="0" borderId="10" xfId="0" applyNumberFormat="1" applyFont="1" applyBorder="1" applyAlignment="1">
      <alignment horizontal="center" vertical="center" wrapText="1"/>
    </xf>
    <xf numFmtId="4" fontId="33" fillId="0" borderId="0" xfId="0" applyNumberFormat="1" applyFont="1" applyAlignment="1" applyProtection="1">
      <alignment horizontal="left" vertical="top" wrapText="1"/>
      <protection locked="0"/>
    </xf>
    <xf numFmtId="4" fontId="36" fillId="33" borderId="0" xfId="0" applyNumberFormat="1" applyFont="1" applyFill="1"/>
    <xf numFmtId="4" fontId="39" fillId="0" borderId="0" xfId="0" applyNumberFormat="1" applyFont="1" applyAlignment="1">
      <alignment horizontal="right"/>
    </xf>
    <xf numFmtId="4" fontId="36" fillId="0" borderId="0" xfId="0" applyNumberFormat="1" applyFont="1" applyProtection="1">
      <protection locked="0"/>
    </xf>
    <xf numFmtId="4" fontId="40" fillId="33" borderId="0" xfId="0" applyNumberFormat="1" applyFont="1" applyFill="1" applyAlignment="1">
      <alignment horizontal="center"/>
    </xf>
    <xf numFmtId="4" fontId="40" fillId="33" borderId="0" xfId="0" applyNumberFormat="1" applyFont="1" applyFill="1"/>
    <xf numFmtId="4" fontId="41" fillId="33" borderId="0" xfId="0" applyNumberFormat="1" applyFont="1" applyFill="1" applyAlignment="1">
      <alignment horizontal="left"/>
    </xf>
    <xf numFmtId="4" fontId="33" fillId="33" borderId="0" xfId="0" applyNumberFormat="1" applyFont="1" applyFill="1"/>
    <xf numFmtId="4" fontId="40" fillId="33" borderId="0" xfId="0" applyNumberFormat="1" applyFont="1" applyFill="1" applyAlignment="1" applyProtection="1">
      <alignment horizontal="center"/>
      <protection locked="0"/>
    </xf>
    <xf numFmtId="4" fontId="39" fillId="33" borderId="0" xfId="0" applyNumberFormat="1" applyFont="1" applyFill="1" applyAlignment="1">
      <alignment horizontal="left"/>
    </xf>
    <xf numFmtId="4" fontId="41" fillId="33" borderId="0" xfId="0" applyNumberFormat="1" applyFont="1" applyFill="1"/>
    <xf numFmtId="4" fontId="40" fillId="33" borderId="0" xfId="0" applyNumberFormat="1" applyFont="1" applyFill="1" applyAlignment="1">
      <alignment horizontal="left"/>
    </xf>
    <xf numFmtId="4" fontId="33" fillId="0" borderId="0" xfId="0" applyNumberFormat="1" applyFont="1" applyAlignment="1" applyProtection="1">
      <alignment wrapText="1"/>
      <protection locked="0"/>
    </xf>
    <xf numFmtId="171" fontId="33" fillId="36" borderId="16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48" fillId="0" borderId="0" xfId="0" applyFont="1"/>
    <xf numFmtId="0" fontId="49" fillId="0" borderId="0" xfId="0" applyFont="1"/>
    <xf numFmtId="0" fontId="45" fillId="0" borderId="0" xfId="0" applyFont="1" applyAlignment="1">
      <alignment horizontal="center"/>
    </xf>
    <xf numFmtId="4" fontId="45" fillId="0" borderId="0" xfId="0" applyNumberFormat="1" applyFont="1"/>
    <xf numFmtId="0" fontId="54" fillId="0" borderId="0" xfId="0" applyFont="1"/>
    <xf numFmtId="3" fontId="38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0" fontId="33" fillId="0" borderId="0" xfId="0" applyFont="1"/>
    <xf numFmtId="49" fontId="35" fillId="0" borderId="0" xfId="0" applyNumberFormat="1" applyFont="1"/>
    <xf numFmtId="0" fontId="58" fillId="0" borderId="0" xfId="0" applyFont="1"/>
    <xf numFmtId="0" fontId="33" fillId="0" borderId="0" xfId="0" applyFont="1" applyAlignment="1">
      <alignment horizontal="center" vertical="center"/>
    </xf>
    <xf numFmtId="0" fontId="33" fillId="0" borderId="22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60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8" fillId="33" borderId="24" xfId="0" applyFont="1" applyFill="1" applyBorder="1" applyAlignment="1">
      <alignment horizontal="left" vertical="top" wrapText="1" indent="1"/>
    </xf>
    <xf numFmtId="49" fontId="33" fillId="33" borderId="26" xfId="0" applyNumberFormat="1" applyFont="1" applyFill="1" applyBorder="1" applyAlignment="1">
      <alignment horizontal="center" vertical="center" wrapText="1"/>
    </xf>
    <xf numFmtId="3" fontId="33" fillId="33" borderId="26" xfId="0" applyNumberFormat="1" applyFont="1" applyFill="1" applyBorder="1" applyAlignment="1">
      <alignment horizontal="right" wrapText="1"/>
    </xf>
    <xf numFmtId="0" fontId="38" fillId="33" borderId="27" xfId="0" applyFont="1" applyFill="1" applyBorder="1" applyAlignment="1">
      <alignment vertical="top" wrapText="1"/>
    </xf>
    <xf numFmtId="49" fontId="33" fillId="33" borderId="27" xfId="0" applyNumberFormat="1" applyFont="1" applyFill="1" applyBorder="1" applyAlignment="1">
      <alignment horizontal="center" vertical="center" wrapText="1"/>
    </xf>
    <xf numFmtId="3" fontId="33" fillId="33" borderId="27" xfId="0" applyNumberFormat="1" applyFont="1" applyFill="1" applyBorder="1" applyAlignment="1">
      <alignment horizontal="right" wrapText="1"/>
    </xf>
    <xf numFmtId="3" fontId="33" fillId="33" borderId="27" xfId="0" applyNumberFormat="1" applyFont="1" applyFill="1" applyBorder="1" applyAlignment="1" applyProtection="1">
      <alignment horizontal="right"/>
      <protection locked="0"/>
    </xf>
    <xf numFmtId="0" fontId="33" fillId="33" borderId="27" xfId="0" applyFont="1" applyFill="1" applyBorder="1"/>
    <xf numFmtId="0" fontId="33" fillId="0" borderId="27" xfId="0" applyFont="1" applyBorder="1"/>
    <xf numFmtId="0" fontId="36" fillId="33" borderId="14" xfId="0" applyFont="1" applyFill="1" applyBorder="1"/>
    <xf numFmtId="49" fontId="33" fillId="33" borderId="0" xfId="0" applyNumberFormat="1" applyFont="1" applyFill="1" applyProtection="1">
      <protection locked="0"/>
    </xf>
    <xf numFmtId="0" fontId="39" fillId="33" borderId="14" xfId="0" applyFont="1" applyFill="1" applyBorder="1"/>
    <xf numFmtId="3" fontId="33" fillId="33" borderId="14" xfId="0" applyNumberFormat="1" applyFont="1" applyFill="1" applyBorder="1" applyAlignment="1">
      <alignment wrapText="1"/>
    </xf>
    <xf numFmtId="1" fontId="33" fillId="33" borderId="11" xfId="0" applyNumberFormat="1" applyFont="1" applyFill="1" applyBorder="1" applyProtection="1">
      <protection locked="0"/>
    </xf>
    <xf numFmtId="0" fontId="39" fillId="33" borderId="14" xfId="0" applyFont="1" applyFill="1" applyBorder="1" applyAlignment="1">
      <alignment wrapText="1"/>
    </xf>
    <xf numFmtId="1" fontId="33" fillId="33" borderId="0" xfId="0" applyNumberFormat="1" applyFont="1" applyFill="1" applyProtection="1">
      <protection locked="0"/>
    </xf>
    <xf numFmtId="0" fontId="36" fillId="33" borderId="0" xfId="0" applyFont="1" applyFill="1" applyAlignment="1">
      <alignment wrapText="1"/>
    </xf>
    <xf numFmtId="0" fontId="59" fillId="0" borderId="0" xfId="0" applyFont="1"/>
    <xf numFmtId="0" fontId="37" fillId="0" borderId="0" xfId="0" applyFont="1"/>
    <xf numFmtId="0" fontId="33" fillId="0" borderId="0" xfId="0" applyFont="1" applyAlignment="1">
      <alignment horizontal="center" vertical="center" wrapText="1"/>
    </xf>
    <xf numFmtId="0" fontId="33" fillId="0" borderId="27" xfId="0" applyFont="1" applyBorder="1" applyAlignment="1">
      <alignment wrapText="1"/>
    </xf>
    <xf numFmtId="0" fontId="33" fillId="40" borderId="0" xfId="0" applyFont="1" applyFill="1"/>
    <xf numFmtId="0" fontId="33" fillId="40" borderId="0" xfId="0" applyFont="1" applyFill="1" applyAlignment="1">
      <alignment wrapText="1"/>
    </xf>
    <xf numFmtId="4" fontId="33" fillId="40" borderId="0" xfId="0" applyNumberFormat="1" applyFont="1" applyFill="1"/>
    <xf numFmtId="0" fontId="62" fillId="0" borderId="10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6" fillId="36" borderId="29" xfId="0" applyFont="1" applyFill="1" applyBorder="1" applyAlignment="1">
      <alignment horizontal="center" vertical="center" wrapText="1"/>
    </xf>
    <xf numFmtId="0" fontId="0" fillId="36" borderId="0" xfId="0" applyFill="1"/>
    <xf numFmtId="178" fontId="45" fillId="0" borderId="0" xfId="0" applyNumberFormat="1" applyFont="1"/>
    <xf numFmtId="180" fontId="49" fillId="0" borderId="0" xfId="0" applyNumberFormat="1" applyFont="1"/>
    <xf numFmtId="0" fontId="6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39" borderId="0" xfId="0" applyFill="1"/>
    <xf numFmtId="182" fontId="45" fillId="0" borderId="0" xfId="0" applyNumberFormat="1" applyFont="1"/>
    <xf numFmtId="168" fontId="55" fillId="36" borderId="10" xfId="42" applyNumberFormat="1" applyFont="1" applyFill="1" applyBorder="1" applyAlignment="1">
      <alignment horizontal="center" vertical="center" wrapText="1"/>
    </xf>
    <xf numFmtId="4" fontId="75" fillId="36" borderId="10" xfId="42" applyNumberFormat="1" applyFont="1" applyFill="1" applyBorder="1" applyAlignment="1">
      <alignment horizontal="center" vertical="center" wrapText="1"/>
    </xf>
    <xf numFmtId="0" fontId="69" fillId="0" borderId="10" xfId="0" applyFont="1" applyBorder="1"/>
    <xf numFmtId="4" fontId="76" fillId="36" borderId="10" xfId="42" applyNumberFormat="1" applyFont="1" applyFill="1" applyBorder="1" applyAlignment="1">
      <alignment horizontal="center" vertical="center" wrapText="1"/>
    </xf>
    <xf numFmtId="0" fontId="80" fillId="0" borderId="0" xfId="0" applyFont="1"/>
    <xf numFmtId="4" fontId="56" fillId="0" borderId="0" xfId="0" applyNumberFormat="1" applyFont="1"/>
    <xf numFmtId="4" fontId="81" fillId="0" borderId="0" xfId="0" applyNumberFormat="1" applyFont="1"/>
    <xf numFmtId="3" fontId="45" fillId="0" borderId="0" xfId="0" applyNumberFormat="1" applyFont="1" applyAlignment="1">
      <alignment horizontal="center"/>
    </xf>
    <xf numFmtId="3" fontId="55" fillId="0" borderId="10" xfId="42" applyNumberFormat="1" applyFont="1" applyBorder="1" applyAlignment="1">
      <alignment horizontal="center" vertical="center" wrapText="1"/>
    </xf>
    <xf numFmtId="3" fontId="76" fillId="36" borderId="10" xfId="42" applyNumberFormat="1" applyFont="1" applyFill="1" applyBorder="1" applyAlignment="1">
      <alignment horizontal="center" vertical="center" wrapText="1"/>
    </xf>
    <xf numFmtId="3" fontId="69" fillId="0" borderId="10" xfId="0" applyNumberFormat="1" applyFont="1" applyBorder="1"/>
    <xf numFmtId="172" fontId="69" fillId="0" borderId="10" xfId="0" applyNumberFormat="1" applyFont="1" applyBorder="1"/>
    <xf numFmtId="183" fontId="69" fillId="0" borderId="10" xfId="0" applyNumberFormat="1" applyFont="1" applyBorder="1"/>
    <xf numFmtId="0" fontId="69" fillId="0" borderId="0" xfId="0" applyFont="1"/>
    <xf numFmtId="172" fontId="69" fillId="0" borderId="0" xfId="0" applyNumberFormat="1" applyFont="1"/>
    <xf numFmtId="183" fontId="69" fillId="0" borderId="0" xfId="0" applyNumberFormat="1" applyFont="1"/>
    <xf numFmtId="0" fontId="55" fillId="0" borderId="10" xfId="42" applyFont="1" applyBorder="1" applyAlignment="1">
      <alignment horizontal="left" vertical="center" wrapText="1"/>
    </xf>
    <xf numFmtId="0" fontId="75" fillId="0" borderId="10" xfId="42" applyFont="1" applyBorder="1" applyAlignment="1">
      <alignment horizontal="left" vertical="center" wrapText="1"/>
    </xf>
    <xf numFmtId="0" fontId="76" fillId="0" borderId="10" xfId="42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0" xfId="0" applyNumberFormat="1" applyBorder="1"/>
    <xf numFmtId="4" fontId="0" fillId="0" borderId="10" xfId="0" applyNumberFormat="1" applyBorder="1" applyAlignment="1">
      <alignment horizontal="center" vertical="center"/>
    </xf>
    <xf numFmtId="0" fontId="82" fillId="0" borderId="0" xfId="0" applyFont="1"/>
    <xf numFmtId="0" fontId="55" fillId="0" borderId="10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/>
    </xf>
    <xf numFmtId="0" fontId="81" fillId="0" borderId="0" xfId="0" applyFont="1"/>
    <xf numFmtId="174" fontId="0" fillId="0" borderId="0" xfId="0" applyNumberFormat="1"/>
    <xf numFmtId="178" fontId="55" fillId="0" borderId="10" xfId="42" applyNumberFormat="1" applyFont="1" applyBorder="1" applyAlignment="1">
      <alignment horizontal="left" vertical="center" wrapText="1"/>
    </xf>
    <xf numFmtId="182" fontId="74" fillId="0" borderId="10" xfId="42" applyNumberFormat="1" applyFont="1" applyBorder="1" applyAlignment="1">
      <alignment horizontal="center" vertical="center" wrapText="1"/>
    </xf>
    <xf numFmtId="3" fontId="74" fillId="35" borderId="10" xfId="42" applyNumberFormat="1" applyFont="1" applyFill="1" applyBorder="1" applyAlignment="1">
      <alignment horizontal="center" vertical="center" wrapText="1"/>
    </xf>
    <xf numFmtId="4" fontId="74" fillId="35" borderId="10" xfId="42" applyNumberFormat="1" applyFont="1" applyFill="1" applyBorder="1" applyAlignment="1">
      <alignment horizontal="center" vertical="center" wrapText="1"/>
    </xf>
    <xf numFmtId="4" fontId="83" fillId="0" borderId="0" xfId="0" applyNumberFormat="1" applyFont="1"/>
    <xf numFmtId="0" fontId="81" fillId="0" borderId="10" xfId="0" applyFont="1" applyBorder="1"/>
    <xf numFmtId="0" fontId="84" fillId="0" borderId="10" xfId="57" applyFont="1" applyBorder="1" applyAlignment="1">
      <alignment horizontal="center" vertical="center" wrapText="1"/>
    </xf>
    <xf numFmtId="0" fontId="11" fillId="0" borderId="0" xfId="57"/>
    <xf numFmtId="173" fontId="84" fillId="0" borderId="10" xfId="57" applyNumberFormat="1" applyFont="1" applyBorder="1"/>
    <xf numFmtId="186" fontId="84" fillId="0" borderId="10" xfId="57" applyNumberFormat="1" applyFont="1" applyBorder="1" applyAlignment="1">
      <alignment horizontal="center" vertical="center" wrapText="1"/>
    </xf>
    <xf numFmtId="167" fontId="84" fillId="0" borderId="10" xfId="57" applyNumberFormat="1" applyFont="1" applyBorder="1" applyAlignment="1">
      <alignment horizontal="center" vertical="center" wrapText="1"/>
    </xf>
    <xf numFmtId="0" fontId="85" fillId="0" borderId="10" xfId="57" applyFont="1" applyBorder="1" applyAlignment="1">
      <alignment horizontal="left" vertical="center" wrapText="1"/>
    </xf>
    <xf numFmtId="186" fontId="84" fillId="0" borderId="10" xfId="57" applyNumberFormat="1" applyFont="1" applyBorder="1" applyAlignment="1">
      <alignment horizontal="center" vertical="center"/>
    </xf>
    <xf numFmtId="4" fontId="84" fillId="0" borderId="10" xfId="57" applyNumberFormat="1" applyFont="1" applyBorder="1" applyAlignment="1">
      <alignment horizontal="center" vertical="center"/>
    </xf>
    <xf numFmtId="167" fontId="84" fillId="0" borderId="10" xfId="57" applyNumberFormat="1" applyFont="1" applyBorder="1" applyAlignment="1">
      <alignment horizontal="center" vertical="center"/>
    </xf>
    <xf numFmtId="165" fontId="84" fillId="0" borderId="10" xfId="57" applyNumberFormat="1" applyFont="1" applyBorder="1" applyAlignment="1">
      <alignment horizontal="center" vertical="center"/>
    </xf>
    <xf numFmtId="168" fontId="84" fillId="0" borderId="10" xfId="57" applyNumberFormat="1" applyFont="1" applyBorder="1" applyAlignment="1">
      <alignment horizontal="center" vertical="center"/>
    </xf>
    <xf numFmtId="0" fontId="84" fillId="0" borderId="10" xfId="57" applyFont="1" applyBorder="1" applyAlignment="1">
      <alignment horizontal="left" vertical="center" wrapText="1"/>
    </xf>
    <xf numFmtId="169" fontId="84" fillId="0" borderId="10" xfId="57" applyNumberFormat="1" applyFont="1" applyBorder="1" applyAlignment="1">
      <alignment horizontal="center" vertical="center"/>
    </xf>
    <xf numFmtId="0" fontId="11" fillId="0" borderId="0" xfId="57" applyAlignment="1">
      <alignment horizontal="left" vertical="center" wrapText="1"/>
    </xf>
    <xf numFmtId="186" fontId="11" fillId="0" borderId="0" xfId="57" applyNumberFormat="1"/>
    <xf numFmtId="167" fontId="11" fillId="0" borderId="0" xfId="57" applyNumberFormat="1"/>
    <xf numFmtId="173" fontId="11" fillId="0" borderId="0" xfId="57" applyNumberFormat="1"/>
    <xf numFmtId="4" fontId="0" fillId="0" borderId="0" xfId="0" applyNumberFormat="1"/>
    <xf numFmtId="0" fontId="35" fillId="0" borderId="10" xfId="0" applyFont="1" applyBorder="1" applyAlignment="1">
      <alignment horizontal="center" vertical="center" wrapText="1" readingOrder="1"/>
    </xf>
    <xf numFmtId="0" fontId="35" fillId="0" borderId="10" xfId="0" applyFont="1" applyBorder="1" applyAlignment="1">
      <alignment horizontal="left" vertical="center" wrapText="1" readingOrder="1"/>
    </xf>
    <xf numFmtId="0" fontId="58" fillId="0" borderId="10" xfId="0" applyFont="1" applyBorder="1" applyAlignment="1">
      <alignment horizontal="left" vertical="center" wrapText="1" readingOrder="1"/>
    </xf>
    <xf numFmtId="4" fontId="87" fillId="0" borderId="10" xfId="0" applyNumberFormat="1" applyFont="1" applyBorder="1" applyAlignment="1">
      <alignment horizontal="center" vertical="center" wrapText="1" readingOrder="1"/>
    </xf>
    <xf numFmtId="4" fontId="86" fillId="0" borderId="10" xfId="0" applyNumberFormat="1" applyFont="1" applyBorder="1" applyAlignment="1">
      <alignment horizontal="center" vertical="center" wrapText="1" readingOrder="1"/>
    </xf>
    <xf numFmtId="0" fontId="0" fillId="0" borderId="10" xfId="0" applyBorder="1"/>
    <xf numFmtId="0" fontId="63" fillId="0" borderId="0" xfId="0" applyFont="1"/>
    <xf numFmtId="0" fontId="0" fillId="0" borderId="0" xfId="0" applyAlignment="1">
      <alignment horizontal="center" vertical="center"/>
    </xf>
    <xf numFmtId="182" fontId="45" fillId="0" borderId="10" xfId="0" applyNumberFormat="1" applyFont="1" applyBorder="1" applyAlignment="1">
      <alignment horizontal="center" vertical="center"/>
    </xf>
    <xf numFmtId="182" fontId="49" fillId="0" borderId="10" xfId="0" applyNumberFormat="1" applyFont="1" applyBorder="1" applyAlignment="1">
      <alignment horizontal="center" vertical="center"/>
    </xf>
    <xf numFmtId="182" fontId="48" fillId="0" borderId="10" xfId="0" applyNumberFormat="1" applyFont="1" applyBorder="1" applyAlignment="1">
      <alignment horizontal="center" vertical="center"/>
    </xf>
    <xf numFmtId="0" fontId="63" fillId="0" borderId="10" xfId="0" applyFont="1" applyBorder="1"/>
    <xf numFmtId="4" fontId="89" fillId="0" borderId="10" xfId="0" applyNumberFormat="1" applyFont="1" applyBorder="1" applyAlignment="1">
      <alignment horizontal="center" vertical="center" wrapText="1" readingOrder="1"/>
    </xf>
    <xf numFmtId="0" fontId="90" fillId="0" borderId="0" xfId="0" applyFont="1"/>
    <xf numFmtId="4" fontId="90" fillId="0" borderId="0" xfId="0" applyNumberFormat="1" applyFont="1"/>
    <xf numFmtId="0" fontId="91" fillId="0" borderId="10" xfId="0" applyFont="1" applyBorder="1" applyAlignment="1">
      <alignment horizontal="left" vertical="center" wrapText="1" readingOrder="1"/>
    </xf>
    <xf numFmtId="4" fontId="91" fillId="0" borderId="10" xfId="0" applyNumberFormat="1" applyFont="1" applyBorder="1" applyAlignment="1">
      <alignment horizontal="center" vertical="center" wrapText="1" readingOrder="1"/>
    </xf>
    <xf numFmtId="182" fontId="91" fillId="0" borderId="10" xfId="0" applyNumberFormat="1" applyFont="1" applyBorder="1" applyAlignment="1">
      <alignment horizontal="center" vertical="center" wrapText="1" readingOrder="1"/>
    </xf>
    <xf numFmtId="182" fontId="90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49" fontId="33" fillId="0" borderId="10" xfId="0" applyNumberFormat="1" applyFont="1" applyBorder="1" applyAlignment="1">
      <alignment horizontal="center"/>
    </xf>
    <xf numFmtId="4" fontId="90" fillId="0" borderId="10" xfId="0" applyNumberFormat="1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168" fontId="45" fillId="0" borderId="0" xfId="0" applyNumberFormat="1" applyFont="1"/>
    <xf numFmtId="168" fontId="74" fillId="36" borderId="10" xfId="42" applyNumberFormat="1" applyFont="1" applyFill="1" applyBorder="1" applyAlignment="1">
      <alignment horizontal="center" vertical="center" wrapText="1"/>
    </xf>
    <xf numFmtId="168" fontId="75" fillId="36" borderId="10" xfId="42" applyNumberFormat="1" applyFont="1" applyFill="1" applyBorder="1" applyAlignment="1">
      <alignment horizontal="center" vertical="center" wrapText="1"/>
    </xf>
    <xf numFmtId="4" fontId="74" fillId="36" borderId="10" xfId="42" applyNumberFormat="1" applyFont="1" applyFill="1" applyBorder="1" applyAlignment="1">
      <alignment horizontal="center" vertical="center" wrapText="1"/>
    </xf>
    <xf numFmtId="3" fontId="75" fillId="36" borderId="10" xfId="42" applyNumberFormat="1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165" fontId="45" fillId="0" borderId="0" xfId="0" applyNumberFormat="1" applyFont="1"/>
    <xf numFmtId="4" fontId="63" fillId="0" borderId="0" xfId="0" applyNumberFormat="1" applyFont="1"/>
    <xf numFmtId="3" fontId="63" fillId="0" borderId="0" xfId="0" applyNumberFormat="1" applyFont="1"/>
    <xf numFmtId="185" fontId="55" fillId="36" borderId="10" xfId="42" applyNumberFormat="1" applyFont="1" applyFill="1" applyBorder="1" applyAlignment="1">
      <alignment horizontal="center" vertical="center" wrapText="1"/>
    </xf>
    <xf numFmtId="0" fontId="56" fillId="0" borderId="10" xfId="42" applyFont="1" applyBorder="1" applyAlignment="1">
      <alignment horizontal="left" vertical="center" wrapText="1"/>
    </xf>
    <xf numFmtId="0" fontId="79" fillId="0" borderId="10" xfId="42" applyFont="1" applyBorder="1" applyAlignment="1">
      <alignment horizontal="left" vertical="center" wrapText="1"/>
    </xf>
    <xf numFmtId="0" fontId="78" fillId="0" borderId="10" xfId="42" applyFont="1" applyBorder="1" applyAlignment="1">
      <alignment horizontal="left" vertical="center" wrapText="1"/>
    </xf>
    <xf numFmtId="178" fontId="56" fillId="0" borderId="10" xfId="42" applyNumberFormat="1" applyFont="1" applyBorder="1" applyAlignment="1">
      <alignment horizontal="left" vertical="center" wrapText="1"/>
    </xf>
    <xf numFmtId="178" fontId="55" fillId="36" borderId="10" xfId="42" applyNumberFormat="1" applyFont="1" applyFill="1" applyBorder="1" applyAlignment="1">
      <alignment horizontal="center" vertical="center" wrapText="1"/>
    </xf>
    <xf numFmtId="4" fontId="69" fillId="36" borderId="10" xfId="42" applyNumberFormat="1" applyFont="1" applyFill="1" applyBorder="1" applyAlignment="1">
      <alignment horizontal="center" vertical="center" wrapText="1"/>
    </xf>
    <xf numFmtId="167" fontId="45" fillId="0" borderId="0" xfId="0" applyNumberFormat="1" applyFont="1"/>
    <xf numFmtId="167" fontId="74" fillId="39" borderId="10" xfId="42" applyNumberFormat="1" applyFont="1" applyFill="1" applyBorder="1" applyAlignment="1">
      <alignment horizontal="center" vertical="center" wrapText="1"/>
    </xf>
    <xf numFmtId="167" fontId="74" fillId="36" borderId="10" xfId="42" applyNumberFormat="1" applyFont="1" applyFill="1" applyBorder="1" applyAlignment="1">
      <alignment horizontal="center" vertical="center" wrapText="1"/>
    </xf>
    <xf numFmtId="167" fontId="55" fillId="36" borderId="10" xfId="42" applyNumberFormat="1" applyFont="1" applyFill="1" applyBorder="1" applyAlignment="1">
      <alignment horizontal="center" vertical="center" wrapText="1"/>
    </xf>
    <xf numFmtId="167" fontId="75" fillId="36" borderId="10" xfId="42" applyNumberFormat="1" applyFont="1" applyFill="1" applyBorder="1" applyAlignment="1">
      <alignment horizontal="center" vertical="center" wrapText="1"/>
    </xf>
    <xf numFmtId="167" fontId="74" fillId="35" borderId="10" xfId="42" applyNumberFormat="1" applyFont="1" applyFill="1" applyBorder="1" applyAlignment="1">
      <alignment horizontal="center" vertical="center" wrapText="1"/>
    </xf>
    <xf numFmtId="167" fontId="69" fillId="36" borderId="10" xfId="42" applyNumberFormat="1" applyFont="1" applyFill="1" applyBorder="1" applyAlignment="1">
      <alignment horizontal="center" vertical="center" wrapText="1"/>
    </xf>
    <xf numFmtId="167" fontId="76" fillId="36" borderId="10" xfId="42" applyNumberFormat="1" applyFont="1" applyFill="1" applyBorder="1" applyAlignment="1">
      <alignment horizontal="center" vertical="center" wrapText="1"/>
    </xf>
    <xf numFmtId="3" fontId="54" fillId="0" borderId="0" xfId="0" applyNumberFormat="1" applyFont="1"/>
    <xf numFmtId="0" fontId="55" fillId="0" borderId="13" xfId="0" applyFont="1" applyBorder="1" applyAlignment="1">
      <alignment horizontal="center" vertical="center" wrapText="1"/>
    </xf>
    <xf numFmtId="165" fontId="76" fillId="36" borderId="10" xfId="42" applyNumberFormat="1" applyFont="1" applyFill="1" applyBorder="1" applyAlignment="1">
      <alignment horizontal="center" vertical="center" wrapText="1"/>
    </xf>
    <xf numFmtId="3" fontId="55" fillId="36" borderId="10" xfId="42" applyNumberFormat="1" applyFont="1" applyFill="1" applyBorder="1" applyAlignment="1">
      <alignment horizontal="center" vertical="center" wrapText="1"/>
    </xf>
    <xf numFmtId="180" fontId="78" fillId="0" borderId="10" xfId="42" applyNumberFormat="1" applyFont="1" applyBorder="1" applyAlignment="1">
      <alignment horizontal="left" vertical="center" wrapText="1"/>
    </xf>
    <xf numFmtId="180" fontId="76" fillId="0" borderId="10" xfId="42" applyNumberFormat="1" applyFont="1" applyBorder="1" applyAlignment="1">
      <alignment horizontal="left" vertical="center" wrapText="1"/>
    </xf>
    <xf numFmtId="0" fontId="56" fillId="0" borderId="10" xfId="0" applyFont="1" applyBorder="1" applyAlignment="1">
      <alignment vertical="center"/>
    </xf>
    <xf numFmtId="184" fontId="76" fillId="36" borderId="10" xfId="42" applyNumberFormat="1" applyFont="1" applyFill="1" applyBorder="1" applyAlignment="1">
      <alignment horizontal="center" vertical="center" wrapText="1"/>
    </xf>
    <xf numFmtId="0" fontId="83" fillId="0" borderId="0" xfId="0" applyFont="1"/>
    <xf numFmtId="189" fontId="55" fillId="36" borderId="10" xfId="42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3" fontId="93" fillId="0" borderId="0" xfId="0" applyNumberFormat="1" applyFont="1"/>
    <xf numFmtId="167" fontId="93" fillId="0" borderId="0" xfId="0" applyNumberFormat="1" applyFont="1"/>
    <xf numFmtId="0" fontId="84" fillId="0" borderId="0" xfId="0" applyFont="1"/>
    <xf numFmtId="3" fontId="0" fillId="36" borderId="0" xfId="0" applyNumberFormat="1" applyFill="1"/>
    <xf numFmtId="0" fontId="82" fillId="34" borderId="0" xfId="0" applyFont="1" applyFill="1"/>
    <xf numFmtId="167" fontId="54" fillId="0" borderId="0" xfId="0" applyNumberFormat="1" applyFont="1"/>
    <xf numFmtId="10" fontId="74" fillId="39" borderId="10" xfId="42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182" fontId="55" fillId="0" borderId="0" xfId="0" applyNumberFormat="1" applyFont="1" applyAlignment="1">
      <alignment horizontal="center" vertical="center"/>
    </xf>
    <xf numFmtId="0" fontId="74" fillId="0" borderId="10" xfId="42" applyFont="1" applyBorder="1" applyAlignment="1">
      <alignment horizontal="left" vertical="center" wrapText="1"/>
    </xf>
    <xf numFmtId="168" fontId="74" fillId="0" borderId="10" xfId="42" applyNumberFormat="1" applyFont="1" applyBorder="1" applyAlignment="1">
      <alignment horizontal="center" vertical="center" wrapText="1"/>
    </xf>
    <xf numFmtId="0" fontId="69" fillId="0" borderId="10" xfId="42" applyFont="1" applyBorder="1" applyAlignment="1">
      <alignment horizontal="left" vertical="center" wrapText="1"/>
    </xf>
    <xf numFmtId="0" fontId="97" fillId="0" borderId="10" xfId="42" applyFont="1" applyBorder="1" applyAlignment="1">
      <alignment horizontal="left" vertical="center" wrapText="1"/>
    </xf>
    <xf numFmtId="0" fontId="99" fillId="0" borderId="10" xfId="42" applyFont="1" applyBorder="1" applyAlignment="1">
      <alignment horizontal="left" vertical="center" wrapText="1"/>
    </xf>
    <xf numFmtId="16" fontId="69" fillId="0" borderId="10" xfId="42" applyNumberFormat="1" applyFont="1" applyBorder="1" applyAlignment="1">
      <alignment horizontal="left" vertical="center" wrapText="1"/>
    </xf>
    <xf numFmtId="3" fontId="64" fillId="36" borderId="10" xfId="0" applyNumberFormat="1" applyFont="1" applyFill="1" applyBorder="1" applyAlignment="1">
      <alignment horizontal="center" vertical="center" wrapText="1"/>
    </xf>
    <xf numFmtId="167" fontId="64" fillId="36" borderId="10" xfId="0" applyNumberFormat="1" applyFont="1" applyFill="1" applyBorder="1" applyAlignment="1">
      <alignment vertical="center" wrapText="1"/>
    </xf>
    <xf numFmtId="3" fontId="74" fillId="36" borderId="10" xfId="42" applyNumberFormat="1" applyFont="1" applyFill="1" applyBorder="1" applyAlignment="1">
      <alignment horizontal="center" vertical="center" wrapText="1"/>
    </xf>
    <xf numFmtId="3" fontId="56" fillId="36" borderId="10" xfId="42" applyNumberFormat="1" applyFont="1" applyFill="1" applyBorder="1" applyAlignment="1">
      <alignment horizontal="center" vertical="center" wrapText="1"/>
    </xf>
    <xf numFmtId="167" fontId="56" fillId="36" borderId="10" xfId="42" applyNumberFormat="1" applyFont="1" applyFill="1" applyBorder="1" applyAlignment="1">
      <alignment horizontal="center" vertical="center" wrapText="1"/>
    </xf>
    <xf numFmtId="3" fontId="69" fillId="36" borderId="10" xfId="42" applyNumberFormat="1" applyFont="1" applyFill="1" applyBorder="1" applyAlignment="1">
      <alignment horizontal="center" vertical="center" wrapText="1"/>
    </xf>
    <xf numFmtId="3" fontId="97" fillId="36" borderId="10" xfId="42" applyNumberFormat="1" applyFont="1" applyFill="1" applyBorder="1" applyAlignment="1">
      <alignment horizontal="center" vertical="center" wrapText="1"/>
    </xf>
    <xf numFmtId="167" fontId="98" fillId="36" borderId="10" xfId="42" applyNumberFormat="1" applyFont="1" applyFill="1" applyBorder="1" applyAlignment="1">
      <alignment horizontal="center" vertical="center" wrapText="1"/>
    </xf>
    <xf numFmtId="183" fontId="75" fillId="36" borderId="10" xfId="42" applyNumberFormat="1" applyFont="1" applyFill="1" applyBorder="1" applyAlignment="1">
      <alignment horizontal="center" vertical="center" wrapText="1"/>
    </xf>
    <xf numFmtId="167" fontId="97" fillId="36" borderId="10" xfId="42" applyNumberFormat="1" applyFont="1" applyFill="1" applyBorder="1" applyAlignment="1">
      <alignment horizontal="center" vertical="center" wrapText="1"/>
    </xf>
    <xf numFmtId="183" fontId="55" fillId="36" borderId="10" xfId="42" applyNumberFormat="1" applyFont="1" applyFill="1" applyBorder="1" applyAlignment="1">
      <alignment horizontal="center" vertical="center" wrapText="1"/>
    </xf>
    <xf numFmtId="3" fontId="99" fillId="36" borderId="10" xfId="42" applyNumberFormat="1" applyFont="1" applyFill="1" applyBorder="1" applyAlignment="1">
      <alignment horizontal="center" vertical="center" wrapText="1"/>
    </xf>
    <xf numFmtId="167" fontId="99" fillId="36" borderId="10" xfId="42" applyNumberFormat="1" applyFont="1" applyFill="1" applyBorder="1" applyAlignment="1">
      <alignment horizontal="center" vertical="center" wrapText="1"/>
    </xf>
    <xf numFmtId="183" fontId="76" fillId="36" borderId="10" xfId="42" applyNumberFormat="1" applyFont="1" applyFill="1" applyBorder="1" applyAlignment="1">
      <alignment horizontal="center" vertical="center" wrapText="1"/>
    </xf>
    <xf numFmtId="4" fontId="56" fillId="36" borderId="10" xfId="42" applyNumberFormat="1" applyFont="1" applyFill="1" applyBorder="1" applyAlignment="1">
      <alignment horizontal="center" vertical="center" wrapText="1"/>
    </xf>
    <xf numFmtId="4" fontId="55" fillId="36" borderId="10" xfId="42" applyNumberFormat="1" applyFont="1" applyFill="1" applyBorder="1" applyAlignment="1">
      <alignment horizontal="center" vertical="center" wrapText="1"/>
    </xf>
    <xf numFmtId="4" fontId="97" fillId="36" borderId="10" xfId="42" applyNumberFormat="1" applyFont="1" applyFill="1" applyBorder="1" applyAlignment="1">
      <alignment horizontal="center" vertical="center" wrapText="1"/>
    </xf>
    <xf numFmtId="4" fontId="99" fillId="36" borderId="10" xfId="42" applyNumberFormat="1" applyFont="1" applyFill="1" applyBorder="1" applyAlignment="1">
      <alignment horizontal="center" vertical="center" wrapText="1"/>
    </xf>
    <xf numFmtId="10" fontId="74" fillId="40" borderId="10" xfId="42" applyNumberFormat="1" applyFont="1" applyFill="1" applyBorder="1" applyAlignment="1">
      <alignment horizontal="center" vertical="center" wrapText="1"/>
    </xf>
    <xf numFmtId="0" fontId="56" fillId="36" borderId="10" xfId="42" applyFont="1" applyFill="1" applyBorder="1" applyAlignment="1">
      <alignment horizontal="left" vertical="center" wrapText="1"/>
    </xf>
    <xf numFmtId="0" fontId="78" fillId="36" borderId="10" xfId="42" applyFont="1" applyFill="1" applyBorder="1" applyAlignment="1">
      <alignment horizontal="left" vertical="center" wrapText="1"/>
    </xf>
    <xf numFmtId="0" fontId="97" fillId="36" borderId="10" xfId="42" applyFont="1" applyFill="1" applyBorder="1" applyAlignment="1">
      <alignment horizontal="left" vertical="center" wrapText="1"/>
    </xf>
    <xf numFmtId="3" fontId="64" fillId="35" borderId="10" xfId="0" applyNumberFormat="1" applyFont="1" applyFill="1" applyBorder="1" applyAlignment="1">
      <alignment horizontal="center" vertical="center" wrapText="1"/>
    </xf>
    <xf numFmtId="167" fontId="64" fillId="35" borderId="10" xfId="0" applyNumberFormat="1" applyFont="1" applyFill="1" applyBorder="1" applyAlignment="1">
      <alignment vertical="center" wrapText="1"/>
    </xf>
    <xf numFmtId="0" fontId="56" fillId="0" borderId="0" xfId="0" applyFont="1" applyAlignment="1">
      <alignment horizontal="right"/>
    </xf>
    <xf numFmtId="184" fontId="56" fillId="0" borderId="0" xfId="0" applyNumberFormat="1" applyFont="1" applyAlignment="1">
      <alignment horizontal="right"/>
    </xf>
    <xf numFmtId="4" fontId="56" fillId="0" borderId="0" xfId="0" applyNumberFormat="1" applyFont="1" applyAlignment="1">
      <alignment horizontal="right"/>
    </xf>
    <xf numFmtId="4" fontId="74" fillId="50" borderId="10" xfId="42" applyNumberFormat="1" applyFont="1" applyFill="1" applyBorder="1" applyAlignment="1">
      <alignment horizontal="center" vertical="center" wrapText="1"/>
    </xf>
    <xf numFmtId="10" fontId="74" fillId="50" borderId="10" xfId="42" applyNumberFormat="1" applyFont="1" applyFill="1" applyBorder="1" applyAlignment="1">
      <alignment horizontal="center" vertical="center" wrapText="1"/>
    </xf>
    <xf numFmtId="4" fontId="56" fillId="50" borderId="10" xfId="42" applyNumberFormat="1" applyFont="1" applyFill="1" applyBorder="1" applyAlignment="1">
      <alignment horizontal="center" vertical="center" wrapText="1"/>
    </xf>
    <xf numFmtId="168" fontId="55" fillId="50" borderId="10" xfId="42" applyNumberFormat="1" applyFont="1" applyFill="1" applyBorder="1" applyAlignment="1">
      <alignment horizontal="center" vertical="center" wrapText="1"/>
    </xf>
    <xf numFmtId="4" fontId="55" fillId="50" borderId="10" xfId="42" applyNumberFormat="1" applyFont="1" applyFill="1" applyBorder="1" applyAlignment="1">
      <alignment horizontal="center" vertical="center" wrapText="1"/>
    </xf>
    <xf numFmtId="4" fontId="69" fillId="50" borderId="10" xfId="42" applyNumberFormat="1" applyFont="1" applyFill="1" applyBorder="1" applyAlignment="1">
      <alignment horizontal="center" vertical="center" wrapText="1"/>
    </xf>
    <xf numFmtId="4" fontId="79" fillId="50" borderId="10" xfId="42" applyNumberFormat="1" applyFont="1" applyFill="1" applyBorder="1" applyAlignment="1">
      <alignment horizontal="center" vertical="center" wrapText="1"/>
    </xf>
    <xf numFmtId="4" fontId="78" fillId="50" borderId="10" xfId="42" applyNumberFormat="1" applyFont="1" applyFill="1" applyBorder="1" applyAlignment="1">
      <alignment horizontal="center" vertical="center" wrapText="1"/>
    </xf>
    <xf numFmtId="184" fontId="56" fillId="50" borderId="10" xfId="42" applyNumberFormat="1" applyFont="1" applyFill="1" applyBorder="1" applyAlignment="1">
      <alignment horizontal="center" vertical="center" wrapText="1"/>
    </xf>
    <xf numFmtId="184" fontId="78" fillId="50" borderId="10" xfId="42" applyNumberFormat="1" applyFont="1" applyFill="1" applyBorder="1" applyAlignment="1">
      <alignment horizontal="center" vertical="center" wrapText="1"/>
    </xf>
    <xf numFmtId="4" fontId="74" fillId="52" borderId="10" xfId="42" applyNumberFormat="1" applyFont="1" applyFill="1" applyBorder="1" applyAlignment="1">
      <alignment horizontal="center" vertical="center" wrapText="1"/>
    </xf>
    <xf numFmtId="167" fontId="55" fillId="0" borderId="0" xfId="0" applyNumberFormat="1" applyFont="1" applyAlignment="1">
      <alignment horizontal="center" vertical="center"/>
    </xf>
    <xf numFmtId="0" fontId="69" fillId="51" borderId="10" xfId="42" applyFont="1" applyFill="1" applyBorder="1" applyAlignment="1">
      <alignment horizontal="left" vertical="center" wrapText="1"/>
    </xf>
    <xf numFmtId="0" fontId="74" fillId="51" borderId="10" xfId="42" applyFont="1" applyFill="1" applyBorder="1" applyAlignment="1">
      <alignment horizontal="left" vertical="center" wrapText="1"/>
    </xf>
    <xf numFmtId="3" fontId="74" fillId="51" borderId="10" xfId="42" applyNumberFormat="1" applyFont="1" applyFill="1" applyBorder="1" applyAlignment="1">
      <alignment horizontal="center" vertical="center" wrapText="1"/>
    </xf>
    <xf numFmtId="167" fontId="74" fillId="51" borderId="10" xfId="42" applyNumberFormat="1" applyFont="1" applyFill="1" applyBorder="1" applyAlignment="1">
      <alignment horizontal="center" vertical="center" wrapText="1"/>
    </xf>
    <xf numFmtId="10" fontId="74" fillId="51" borderId="10" xfId="42" applyNumberFormat="1" applyFont="1" applyFill="1" applyBorder="1" applyAlignment="1">
      <alignment horizontal="center" vertical="center" wrapText="1"/>
    </xf>
    <xf numFmtId="4" fontId="74" fillId="51" borderId="10" xfId="42" applyNumberFormat="1" applyFont="1" applyFill="1" applyBorder="1" applyAlignment="1">
      <alignment horizontal="center" vertical="center" wrapText="1"/>
    </xf>
    <xf numFmtId="4" fontId="56" fillId="51" borderId="10" xfId="42" applyNumberFormat="1" applyFont="1" applyFill="1" applyBorder="1" applyAlignment="1">
      <alignment horizontal="center" vertical="center" wrapText="1"/>
    </xf>
    <xf numFmtId="184" fontId="56" fillId="51" borderId="10" xfId="42" applyNumberFormat="1" applyFont="1" applyFill="1" applyBorder="1" applyAlignment="1">
      <alignment horizontal="center" vertical="center" wrapText="1"/>
    </xf>
    <xf numFmtId="10" fontId="74" fillId="52" borderId="10" xfId="42" applyNumberFormat="1" applyFont="1" applyFill="1" applyBorder="1" applyAlignment="1">
      <alignment horizontal="center" vertical="center" wrapText="1"/>
    </xf>
    <xf numFmtId="0" fontId="56" fillId="38" borderId="10" xfId="42" applyFont="1" applyFill="1" applyBorder="1" applyAlignment="1">
      <alignment horizontal="left" vertical="center" wrapText="1"/>
    </xf>
    <xf numFmtId="0" fontId="78" fillId="38" borderId="10" xfId="42" applyFont="1" applyFill="1" applyBorder="1" applyAlignment="1">
      <alignment horizontal="left" vertical="center" wrapText="1"/>
    </xf>
    <xf numFmtId="49" fontId="63" fillId="53" borderId="10" xfId="0" applyNumberFormat="1" applyFont="1" applyFill="1" applyBorder="1" applyAlignment="1">
      <alignment horizontal="center"/>
    </xf>
    <xf numFmtId="0" fontId="58" fillId="53" borderId="10" xfId="0" applyFont="1" applyFill="1" applyBorder="1" applyAlignment="1">
      <alignment horizontal="left" vertical="center" wrapText="1" readingOrder="1"/>
    </xf>
    <xf numFmtId="4" fontId="86" fillId="53" borderId="10" xfId="0" applyNumberFormat="1" applyFont="1" applyFill="1" applyBorder="1" applyAlignment="1">
      <alignment horizontal="center" vertical="center" wrapText="1" readingOrder="1"/>
    </xf>
    <xf numFmtId="182" fontId="86" fillId="53" borderId="10" xfId="0" applyNumberFormat="1" applyFont="1" applyFill="1" applyBorder="1" applyAlignment="1">
      <alignment horizontal="center" vertical="center" wrapText="1" readingOrder="1"/>
    </xf>
    <xf numFmtId="182" fontId="45" fillId="53" borderId="10" xfId="0" applyNumberFormat="1" applyFont="1" applyFill="1" applyBorder="1" applyAlignment="1">
      <alignment horizontal="center" vertical="center"/>
    </xf>
    <xf numFmtId="49" fontId="63" fillId="48" borderId="10" xfId="0" applyNumberFormat="1" applyFont="1" applyFill="1" applyBorder="1" applyAlignment="1">
      <alignment horizontal="center"/>
    </xf>
    <xf numFmtId="0" fontId="58" fillId="48" borderId="10" xfId="0" applyFont="1" applyFill="1" applyBorder="1" applyAlignment="1">
      <alignment horizontal="left" vertical="center" wrapText="1" readingOrder="1"/>
    </xf>
    <xf numFmtId="4" fontId="86" fillId="48" borderId="10" xfId="0" applyNumberFormat="1" applyFont="1" applyFill="1" applyBorder="1" applyAlignment="1">
      <alignment horizontal="center" vertical="center" wrapText="1" readingOrder="1"/>
    </xf>
    <xf numFmtId="182" fontId="86" fillId="48" borderId="10" xfId="0" applyNumberFormat="1" applyFont="1" applyFill="1" applyBorder="1" applyAlignment="1">
      <alignment horizontal="center" vertical="center" wrapText="1" readingOrder="1"/>
    </xf>
    <xf numFmtId="182" fontId="45" fillId="48" borderId="10" xfId="0" applyNumberFormat="1" applyFont="1" applyFill="1" applyBorder="1" applyAlignment="1">
      <alignment horizontal="center" vertical="center"/>
    </xf>
    <xf numFmtId="49" fontId="63" fillId="47" borderId="10" xfId="0" applyNumberFormat="1" applyFont="1" applyFill="1" applyBorder="1" applyAlignment="1">
      <alignment horizontal="center"/>
    </xf>
    <xf numFmtId="0" fontId="58" fillId="47" borderId="10" xfId="0" applyFont="1" applyFill="1" applyBorder="1" applyAlignment="1">
      <alignment horizontal="left" vertical="center" wrapText="1" readingOrder="1"/>
    </xf>
    <xf numFmtId="4" fontId="86" fillId="47" borderId="10" xfId="0" applyNumberFormat="1" applyFont="1" applyFill="1" applyBorder="1" applyAlignment="1">
      <alignment horizontal="center" vertical="center" wrapText="1" readingOrder="1"/>
    </xf>
    <xf numFmtId="182" fontId="86" fillId="47" borderId="10" xfId="0" applyNumberFormat="1" applyFont="1" applyFill="1" applyBorder="1" applyAlignment="1">
      <alignment horizontal="center" vertical="center" wrapText="1" readingOrder="1"/>
    </xf>
    <xf numFmtId="182" fontId="45" fillId="47" borderId="10" xfId="0" applyNumberFormat="1" applyFont="1" applyFill="1" applyBorder="1" applyAlignment="1">
      <alignment horizontal="center" vertical="center"/>
    </xf>
    <xf numFmtId="4" fontId="86" fillId="46" borderId="10" xfId="0" applyNumberFormat="1" applyFont="1" applyFill="1" applyBorder="1" applyAlignment="1">
      <alignment horizontal="center" vertical="center" wrapText="1" readingOrder="1"/>
    </xf>
    <xf numFmtId="182" fontId="86" fillId="46" borderId="10" xfId="0" applyNumberFormat="1" applyFont="1" applyFill="1" applyBorder="1" applyAlignment="1">
      <alignment horizontal="center" vertical="center" wrapText="1" readingOrder="1"/>
    </xf>
    <xf numFmtId="182" fontId="45" fillId="46" borderId="10" xfId="0" applyNumberFormat="1" applyFont="1" applyFill="1" applyBorder="1" applyAlignment="1">
      <alignment horizontal="center" vertical="center"/>
    </xf>
    <xf numFmtId="49" fontId="0" fillId="52" borderId="10" xfId="0" applyNumberFormat="1" applyFill="1" applyBorder="1" applyAlignment="1">
      <alignment horizontal="center"/>
    </xf>
    <xf numFmtId="0" fontId="58" fillId="52" borderId="10" xfId="0" applyFont="1" applyFill="1" applyBorder="1" applyAlignment="1">
      <alignment horizontal="left" vertical="center" wrapText="1" readingOrder="1"/>
    </xf>
    <xf numFmtId="4" fontId="87" fillId="52" borderId="10" xfId="0" applyNumberFormat="1" applyFont="1" applyFill="1" applyBorder="1" applyAlignment="1">
      <alignment horizontal="center" vertical="center" wrapText="1" readingOrder="1"/>
    </xf>
    <xf numFmtId="182" fontId="87" fillId="52" borderId="10" xfId="0" applyNumberFormat="1" applyFont="1" applyFill="1" applyBorder="1" applyAlignment="1">
      <alignment horizontal="center" vertical="center" wrapText="1" readingOrder="1"/>
    </xf>
    <xf numFmtId="182" fontId="45" fillId="52" borderId="10" xfId="0" applyNumberFormat="1" applyFont="1" applyFill="1" applyBorder="1" applyAlignment="1">
      <alignment horizontal="center" vertical="center"/>
    </xf>
    <xf numFmtId="49" fontId="0" fillId="39" borderId="10" xfId="0" applyNumberFormat="1" applyFill="1" applyBorder="1" applyAlignment="1">
      <alignment horizontal="center" vertical="center"/>
    </xf>
    <xf numFmtId="49" fontId="0" fillId="39" borderId="10" xfId="0" applyNumberFormat="1" applyFill="1" applyBorder="1" applyAlignment="1">
      <alignment horizontal="center"/>
    </xf>
    <xf numFmtId="49" fontId="63" fillId="46" borderId="10" xfId="0" applyNumberFormat="1" applyFont="1" applyFill="1" applyBorder="1" applyAlignment="1">
      <alignment horizontal="center"/>
    </xf>
    <xf numFmtId="0" fontId="58" fillId="46" borderId="10" xfId="0" applyFont="1" applyFill="1" applyBorder="1" applyAlignment="1">
      <alignment horizontal="left" vertical="center" wrapText="1" readingOrder="1"/>
    </xf>
    <xf numFmtId="49" fontId="63" fillId="52" borderId="10" xfId="0" applyNumberFormat="1" applyFont="1" applyFill="1" applyBorder="1" applyAlignment="1">
      <alignment horizontal="center"/>
    </xf>
    <xf numFmtId="182" fontId="48" fillId="52" borderId="10" xfId="0" applyNumberFormat="1" applyFont="1" applyFill="1" applyBorder="1" applyAlignment="1">
      <alignment horizontal="center" vertical="center"/>
    </xf>
    <xf numFmtId="3" fontId="81" fillId="0" borderId="0" xfId="0" applyNumberFormat="1" applyFont="1"/>
    <xf numFmtId="0" fontId="107" fillId="50" borderId="17" xfId="42" applyFont="1" applyFill="1" applyBorder="1" applyAlignment="1">
      <alignment horizontal="left" vertical="center" wrapText="1"/>
    </xf>
    <xf numFmtId="0" fontId="107" fillId="54" borderId="10" xfId="42" applyFont="1" applyFill="1" applyBorder="1" applyAlignment="1">
      <alignment horizontal="left" vertical="center" wrapText="1"/>
    </xf>
    <xf numFmtId="168" fontId="107" fillId="54" borderId="10" xfId="42" applyNumberFormat="1" applyFont="1" applyFill="1" applyBorder="1" applyAlignment="1">
      <alignment horizontal="center" vertical="center" wrapText="1"/>
    </xf>
    <xf numFmtId="0" fontId="107" fillId="0" borderId="10" xfId="42" applyFont="1" applyBorder="1" applyAlignment="1">
      <alignment horizontal="left" vertical="center" wrapText="1"/>
    </xf>
    <xf numFmtId="0" fontId="81" fillId="0" borderId="10" xfId="42" applyFont="1" applyBorder="1" applyAlignment="1">
      <alignment horizontal="left" vertical="center" wrapText="1"/>
    </xf>
    <xf numFmtId="0" fontId="106" fillId="0" borderId="10" xfId="42" applyFont="1" applyBorder="1" applyAlignment="1">
      <alignment horizontal="left" vertical="center" wrapText="1"/>
    </xf>
    <xf numFmtId="0" fontId="105" fillId="0" borderId="10" xfId="42" applyFont="1" applyBorder="1" applyAlignment="1">
      <alignment horizontal="left" vertical="center" wrapText="1"/>
    </xf>
    <xf numFmtId="0" fontId="105" fillId="39" borderId="10" xfId="42" applyFont="1" applyFill="1" applyBorder="1" applyAlignment="1">
      <alignment horizontal="left" vertical="center" wrapText="1"/>
    </xf>
    <xf numFmtId="0" fontId="107" fillId="39" borderId="10" xfId="42" applyFont="1" applyFill="1" applyBorder="1" applyAlignment="1">
      <alignment horizontal="left" vertical="center" wrapText="1"/>
    </xf>
    <xf numFmtId="0" fontId="108" fillId="0" borderId="10" xfId="42" applyFont="1" applyBorder="1" applyAlignment="1">
      <alignment horizontal="left" vertical="center" wrapText="1"/>
    </xf>
    <xf numFmtId="0" fontId="109" fillId="0" borderId="10" xfId="42" applyFont="1" applyBorder="1" applyAlignment="1">
      <alignment horizontal="left" vertical="center" wrapText="1"/>
    </xf>
    <xf numFmtId="0" fontId="110" fillId="0" borderId="10" xfId="42" applyFont="1" applyBorder="1" applyAlignment="1">
      <alignment horizontal="left" vertical="center" wrapText="1"/>
    </xf>
    <xf numFmtId="0" fontId="111" fillId="0" borderId="10" xfId="42" applyFont="1" applyBorder="1" applyAlignment="1">
      <alignment horizontal="left" vertical="center" wrapText="1"/>
    </xf>
    <xf numFmtId="178" fontId="81" fillId="0" borderId="10" xfId="42" applyNumberFormat="1" applyFont="1" applyBorder="1" applyAlignment="1">
      <alignment horizontal="left" vertical="center" wrapText="1"/>
    </xf>
    <xf numFmtId="178" fontId="106" fillId="0" borderId="10" xfId="42" applyNumberFormat="1" applyFont="1" applyBorder="1" applyAlignment="1">
      <alignment horizontal="left" vertical="center" wrapText="1"/>
    </xf>
    <xf numFmtId="0" fontId="105" fillId="46" borderId="10" xfId="42" applyFont="1" applyFill="1" applyBorder="1" applyAlignment="1">
      <alignment horizontal="left" vertical="center" wrapText="1"/>
    </xf>
    <xf numFmtId="0" fontId="81" fillId="35" borderId="10" xfId="42" applyFont="1" applyFill="1" applyBorder="1" applyAlignment="1">
      <alignment horizontal="left" vertical="center" wrapText="1"/>
    </xf>
    <xf numFmtId="167" fontId="105" fillId="35" borderId="10" xfId="43" applyNumberFormat="1" applyFont="1" applyFill="1" applyBorder="1" applyAlignment="1">
      <alignment horizontal="center" vertical="center"/>
    </xf>
    <xf numFmtId="4" fontId="107" fillId="38" borderId="10" xfId="42" applyNumberFormat="1" applyFont="1" applyFill="1" applyBorder="1" applyAlignment="1">
      <alignment horizontal="left" vertical="center"/>
    </xf>
    <xf numFmtId="4" fontId="105" fillId="38" borderId="10" xfId="43" applyNumberFormat="1" applyFont="1" applyFill="1" applyBorder="1" applyAlignment="1">
      <alignment horizontal="center" vertical="center"/>
    </xf>
    <xf numFmtId="0" fontId="111" fillId="0" borderId="10" xfId="42" applyFont="1" applyBorder="1" applyAlignment="1">
      <alignment horizontal="left" vertical="center"/>
    </xf>
    <xf numFmtId="0" fontId="106" fillId="0" borderId="10" xfId="42" applyFont="1" applyBorder="1" applyAlignment="1">
      <alignment horizontal="left" vertical="center"/>
    </xf>
    <xf numFmtId="167" fontId="105" fillId="0" borderId="10" xfId="43" applyNumberFormat="1" applyFont="1" applyFill="1" applyBorder="1" applyAlignment="1">
      <alignment horizontal="center" vertical="center"/>
    </xf>
    <xf numFmtId="3" fontId="112" fillId="50" borderId="17" xfId="42" applyNumberFormat="1" applyFont="1" applyFill="1" applyBorder="1" applyAlignment="1">
      <alignment horizontal="center" vertical="center" wrapText="1"/>
    </xf>
    <xf numFmtId="168" fontId="112" fillId="54" borderId="10" xfId="42" applyNumberFormat="1" applyFont="1" applyFill="1" applyBorder="1" applyAlignment="1">
      <alignment horizontal="center" vertical="center" wrapText="1"/>
    </xf>
    <xf numFmtId="167" fontId="114" fillId="35" borderId="10" xfId="43" applyNumberFormat="1" applyFont="1" applyFill="1" applyBorder="1" applyAlignment="1">
      <alignment horizontal="center" vertical="center"/>
    </xf>
    <xf numFmtId="167" fontId="116" fillId="0" borderId="10" xfId="43" applyNumberFormat="1" applyFont="1" applyFill="1" applyBorder="1" applyAlignment="1">
      <alignment horizontal="center" vertical="center"/>
    </xf>
    <xf numFmtId="4" fontId="114" fillId="38" borderId="10" xfId="43" applyNumberFormat="1" applyFont="1" applyFill="1" applyBorder="1" applyAlignment="1">
      <alignment horizontal="center" vertical="center"/>
    </xf>
    <xf numFmtId="167" fontId="114" fillId="0" borderId="10" xfId="43" applyNumberFormat="1" applyFont="1" applyFill="1" applyBorder="1" applyAlignment="1">
      <alignment horizontal="center" vertical="center"/>
    </xf>
    <xf numFmtId="4" fontId="112" fillId="50" borderId="17" xfId="42" applyNumberFormat="1" applyFont="1" applyFill="1" applyBorder="1" applyAlignment="1">
      <alignment horizontal="center" vertical="center" wrapText="1"/>
    </xf>
    <xf numFmtId="10" fontId="112" fillId="50" borderId="17" xfId="42" applyNumberFormat="1" applyFont="1" applyFill="1" applyBorder="1" applyAlignment="1">
      <alignment horizontal="center" vertical="center" wrapText="1"/>
    </xf>
    <xf numFmtId="3" fontId="112" fillId="54" borderId="10" xfId="42" applyNumberFormat="1" applyFont="1" applyFill="1" applyBorder="1" applyAlignment="1">
      <alignment horizontal="center" vertical="center" wrapText="1"/>
    </xf>
    <xf numFmtId="3" fontId="112" fillId="47" borderId="17" xfId="42" applyNumberFormat="1" applyFont="1" applyFill="1" applyBorder="1" applyAlignment="1">
      <alignment horizontal="center" vertical="center" wrapText="1"/>
    </xf>
    <xf numFmtId="4" fontId="112" fillId="40" borderId="17" xfId="42" applyNumberFormat="1" applyFont="1" applyFill="1" applyBorder="1" applyAlignment="1">
      <alignment horizontal="center" vertical="center" wrapText="1"/>
    </xf>
    <xf numFmtId="10" fontId="112" fillId="47" borderId="17" xfId="42" applyNumberFormat="1" applyFont="1" applyFill="1" applyBorder="1" applyAlignment="1">
      <alignment horizontal="center" vertical="center" wrapText="1"/>
    </xf>
    <xf numFmtId="10" fontId="112" fillId="40" borderId="17" xfId="42" applyNumberFormat="1" applyFont="1" applyFill="1" applyBorder="1" applyAlignment="1">
      <alignment horizontal="center" vertical="center" wrapText="1"/>
    </xf>
    <xf numFmtId="3" fontId="112" fillId="39" borderId="17" xfId="42" applyNumberFormat="1" applyFont="1" applyFill="1" applyBorder="1" applyAlignment="1">
      <alignment horizontal="center" vertical="center" wrapText="1"/>
    </xf>
    <xf numFmtId="4" fontId="112" fillId="39" borderId="17" xfId="42" applyNumberFormat="1" applyFont="1" applyFill="1" applyBorder="1" applyAlignment="1">
      <alignment horizontal="center" vertical="center" wrapText="1"/>
    </xf>
    <xf numFmtId="10" fontId="112" fillId="39" borderId="17" xfId="42" applyNumberFormat="1" applyFont="1" applyFill="1" applyBorder="1" applyAlignment="1">
      <alignment horizontal="center" vertical="center" wrapText="1"/>
    </xf>
    <xf numFmtId="3" fontId="112" fillId="46" borderId="17" xfId="42" applyNumberFormat="1" applyFont="1" applyFill="1" applyBorder="1" applyAlignment="1">
      <alignment horizontal="center" vertical="center" wrapText="1"/>
    </xf>
    <xf numFmtId="4" fontId="112" fillId="46" borderId="17" xfId="42" applyNumberFormat="1" applyFont="1" applyFill="1" applyBorder="1" applyAlignment="1">
      <alignment horizontal="center" vertical="center" wrapText="1"/>
    </xf>
    <xf numFmtId="10" fontId="112" fillId="46" borderId="17" xfId="42" applyNumberFormat="1" applyFont="1" applyFill="1" applyBorder="1" applyAlignment="1">
      <alignment horizontal="center" vertical="center" wrapText="1"/>
    </xf>
    <xf numFmtId="10" fontId="112" fillId="35" borderId="17" xfId="42" applyNumberFormat="1" applyFont="1" applyFill="1" applyBorder="1" applyAlignment="1">
      <alignment horizontal="center" vertical="center" wrapText="1"/>
    </xf>
    <xf numFmtId="4" fontId="115" fillId="40" borderId="17" xfId="42" applyNumberFormat="1" applyFont="1" applyFill="1" applyBorder="1" applyAlignment="1">
      <alignment horizontal="center" vertical="center" wrapText="1"/>
    </xf>
    <xf numFmtId="10" fontId="115" fillId="40" borderId="17" xfId="42" applyNumberFormat="1" applyFont="1" applyFill="1" applyBorder="1" applyAlignment="1">
      <alignment horizontal="center" vertical="center" wrapText="1"/>
    </xf>
    <xf numFmtId="4" fontId="112" fillId="38" borderId="17" xfId="42" applyNumberFormat="1" applyFont="1" applyFill="1" applyBorder="1" applyAlignment="1">
      <alignment horizontal="center" vertical="center" wrapText="1"/>
    </xf>
    <xf numFmtId="10" fontId="112" fillId="38" borderId="17" xfId="42" applyNumberFormat="1" applyFont="1" applyFill="1" applyBorder="1" applyAlignment="1">
      <alignment horizontal="center" vertical="center" wrapText="1"/>
    </xf>
    <xf numFmtId="4" fontId="112" fillId="0" borderId="10" xfId="42" applyNumberFormat="1" applyFont="1" applyBorder="1" applyAlignment="1">
      <alignment horizontal="center" vertical="center" wrapText="1"/>
    </xf>
    <xf numFmtId="4" fontId="116" fillId="0" borderId="10" xfId="43" applyNumberFormat="1" applyFont="1" applyFill="1" applyBorder="1" applyAlignment="1">
      <alignment horizontal="center" vertical="center"/>
    </xf>
    <xf numFmtId="0" fontId="105" fillId="0" borderId="0" xfId="0" applyFont="1" applyAlignment="1">
      <alignment horizontal="center" vertical="center" wrapText="1"/>
    </xf>
    <xf numFmtId="0" fontId="118" fillId="0" borderId="0" xfId="0" applyFont="1"/>
    <xf numFmtId="0" fontId="120" fillId="0" borderId="0" xfId="0" applyFont="1"/>
    <xf numFmtId="3" fontId="112" fillId="0" borderId="17" xfId="42" applyNumberFormat="1" applyFont="1" applyBorder="1" applyAlignment="1">
      <alignment horizontal="center" vertical="center" wrapText="1"/>
    </xf>
    <xf numFmtId="4" fontId="112" fillId="0" borderId="17" xfId="42" applyNumberFormat="1" applyFont="1" applyBorder="1" applyAlignment="1">
      <alignment horizontal="center" vertical="center" wrapText="1"/>
    </xf>
    <xf numFmtId="0" fontId="109" fillId="46" borderId="10" xfId="42" applyFont="1" applyFill="1" applyBorder="1" applyAlignment="1">
      <alignment horizontal="left" vertical="center" wrapText="1"/>
    </xf>
    <xf numFmtId="3" fontId="112" fillId="38" borderId="17" xfId="42" applyNumberFormat="1" applyFont="1" applyFill="1" applyBorder="1" applyAlignment="1">
      <alignment horizontal="center" vertical="center" wrapText="1"/>
    </xf>
    <xf numFmtId="165" fontId="114" fillId="35" borderId="10" xfId="43" applyNumberFormat="1" applyFont="1" applyFill="1" applyBorder="1" applyAlignment="1">
      <alignment horizontal="center" vertical="center"/>
    </xf>
    <xf numFmtId="165" fontId="112" fillId="35" borderId="17" xfId="42" applyNumberFormat="1" applyFont="1" applyFill="1" applyBorder="1" applyAlignment="1">
      <alignment horizontal="center" vertical="center" wrapText="1"/>
    </xf>
    <xf numFmtId="165" fontId="117" fillId="0" borderId="10" xfId="43" applyNumberFormat="1" applyFont="1" applyFill="1" applyBorder="1" applyAlignment="1">
      <alignment horizontal="center" vertical="center"/>
    </xf>
    <xf numFmtId="165" fontId="112" fillId="47" borderId="17" xfId="42" applyNumberFormat="1" applyFont="1" applyFill="1" applyBorder="1" applyAlignment="1">
      <alignment horizontal="center" vertical="center" wrapText="1"/>
    </xf>
    <xf numFmtId="165" fontId="112" fillId="40" borderId="17" xfId="42" applyNumberFormat="1" applyFont="1" applyFill="1" applyBorder="1" applyAlignment="1">
      <alignment horizontal="center" vertical="center" wrapText="1"/>
    </xf>
    <xf numFmtId="178" fontId="105" fillId="0" borderId="10" xfId="42" applyNumberFormat="1" applyFont="1" applyBorder="1" applyAlignment="1">
      <alignment horizontal="left" vertical="center" wrapText="1"/>
    </xf>
    <xf numFmtId="16" fontId="81" fillId="0" borderId="10" xfId="42" applyNumberFormat="1" applyFont="1" applyBorder="1" applyAlignment="1">
      <alignment horizontal="left" vertical="center" wrapText="1"/>
    </xf>
    <xf numFmtId="3" fontId="113" fillId="0" borderId="17" xfId="42" applyNumberFormat="1" applyFont="1" applyBorder="1" applyAlignment="1">
      <alignment horizontal="center" vertical="center" wrapText="1"/>
    </xf>
    <xf numFmtId="4" fontId="113" fillId="0" borderId="17" xfId="42" applyNumberFormat="1" applyFont="1" applyBorder="1" applyAlignment="1">
      <alignment horizontal="center" vertical="center" wrapText="1"/>
    </xf>
    <xf numFmtId="3" fontId="113" fillId="47" borderId="17" xfId="42" applyNumberFormat="1" applyFont="1" applyFill="1" applyBorder="1" applyAlignment="1">
      <alignment horizontal="center" vertical="center" wrapText="1"/>
    </xf>
    <xf numFmtId="4" fontId="113" fillId="40" borderId="17" xfId="42" applyNumberFormat="1" applyFont="1" applyFill="1" applyBorder="1" applyAlignment="1">
      <alignment horizontal="center" vertical="center" wrapText="1"/>
    </xf>
    <xf numFmtId="10" fontId="113" fillId="47" borderId="17" xfId="42" applyNumberFormat="1" applyFont="1" applyFill="1" applyBorder="1" applyAlignment="1">
      <alignment horizontal="center" vertical="center" wrapText="1"/>
    </xf>
    <xf numFmtId="10" fontId="113" fillId="40" borderId="17" xfId="42" applyNumberFormat="1" applyFont="1" applyFill="1" applyBorder="1" applyAlignment="1">
      <alignment horizontal="center" vertical="center" wrapText="1"/>
    </xf>
    <xf numFmtId="3" fontId="115" fillId="0" borderId="17" xfId="42" applyNumberFormat="1" applyFont="1" applyBorder="1" applyAlignment="1">
      <alignment horizontal="center" vertical="center" wrapText="1"/>
    </xf>
    <xf numFmtId="4" fontId="115" fillId="0" borderId="17" xfId="42" applyNumberFormat="1" applyFont="1" applyBorder="1" applyAlignment="1">
      <alignment horizontal="center" vertical="center" wrapText="1"/>
    </xf>
    <xf numFmtId="3" fontId="115" fillId="47" borderId="17" xfId="42" applyNumberFormat="1" applyFont="1" applyFill="1" applyBorder="1" applyAlignment="1">
      <alignment horizontal="center" vertical="center" wrapText="1"/>
    </xf>
    <xf numFmtId="10" fontId="115" fillId="47" borderId="17" xfId="42" applyNumberFormat="1" applyFont="1" applyFill="1" applyBorder="1" applyAlignment="1">
      <alignment horizontal="center" vertical="center" wrapText="1"/>
    </xf>
    <xf numFmtId="178" fontId="107" fillId="0" borderId="10" xfId="42" applyNumberFormat="1" applyFont="1" applyBorder="1" applyAlignment="1">
      <alignment horizontal="left" vertical="center" wrapText="1"/>
    </xf>
    <xf numFmtId="180" fontId="81" fillId="0" borderId="10" xfId="42" applyNumberFormat="1" applyFont="1" applyBorder="1" applyAlignment="1">
      <alignment horizontal="left" vertical="center" wrapText="1"/>
    </xf>
    <xf numFmtId="0" fontId="105" fillId="55" borderId="10" xfId="42" applyFont="1" applyFill="1" applyBorder="1" applyAlignment="1">
      <alignment horizontal="left" vertical="center" wrapText="1"/>
    </xf>
    <xf numFmtId="167" fontId="81" fillId="0" borderId="10" xfId="43" applyNumberFormat="1" applyFont="1" applyFill="1" applyBorder="1" applyAlignment="1">
      <alignment horizontal="left" vertical="center" wrapText="1"/>
    </xf>
    <xf numFmtId="168" fontId="56" fillId="50" borderId="10" xfId="42" applyNumberFormat="1" applyFont="1" applyFill="1" applyBorder="1" applyAlignment="1">
      <alignment horizontal="center" vertical="center" wrapText="1"/>
    </xf>
    <xf numFmtId="168" fontId="82" fillId="0" borderId="0" xfId="0" applyNumberFormat="1" applyFont="1"/>
    <xf numFmtId="0" fontId="107" fillId="0" borderId="10" xfId="42" applyFont="1" applyBorder="1" applyAlignment="1">
      <alignment horizontal="center" vertical="center" wrapText="1"/>
    </xf>
    <xf numFmtId="180" fontId="106" fillId="0" borderId="10" xfId="42" applyNumberFormat="1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3" fontId="74" fillId="0" borderId="10" xfId="42" applyNumberFormat="1" applyFont="1" applyBorder="1" applyAlignment="1">
      <alignment horizontal="center" vertical="center" wrapText="1"/>
    </xf>
    <xf numFmtId="167" fontId="74" fillId="0" borderId="10" xfId="42" applyNumberFormat="1" applyFont="1" applyBorder="1" applyAlignment="1">
      <alignment horizontal="center" vertical="center" wrapText="1"/>
    </xf>
    <xf numFmtId="4" fontId="74" fillId="0" borderId="10" xfId="42" applyNumberFormat="1" applyFont="1" applyBorder="1" applyAlignment="1">
      <alignment horizontal="center" vertical="center" wrapText="1"/>
    </xf>
    <xf numFmtId="3" fontId="74" fillId="0" borderId="35" xfId="42" applyNumberFormat="1" applyFont="1" applyBorder="1" applyAlignment="1">
      <alignment horizontal="center" vertical="center" wrapText="1"/>
    </xf>
    <xf numFmtId="180" fontId="78" fillId="0" borderId="17" xfId="42" applyNumberFormat="1" applyFont="1" applyBorder="1" applyAlignment="1">
      <alignment horizontal="left" vertical="center" wrapText="1"/>
    </xf>
    <xf numFmtId="3" fontId="74" fillId="0" borderId="17" xfId="42" applyNumberFormat="1" applyFont="1" applyBorder="1" applyAlignment="1">
      <alignment horizontal="center" vertical="center" wrapText="1"/>
    </xf>
    <xf numFmtId="168" fontId="74" fillId="0" borderId="17" xfId="42" applyNumberFormat="1" applyFont="1" applyBorder="1" applyAlignment="1">
      <alignment horizontal="center" vertical="center" wrapText="1"/>
    </xf>
    <xf numFmtId="167" fontId="74" fillId="0" borderId="17" xfId="42" applyNumberFormat="1" applyFont="1" applyBorder="1" applyAlignment="1">
      <alignment horizontal="center" vertical="center" wrapText="1"/>
    </xf>
    <xf numFmtId="4" fontId="74" fillId="0" borderId="17" xfId="42" applyNumberFormat="1" applyFont="1" applyBorder="1" applyAlignment="1">
      <alignment horizontal="center" vertical="center" wrapText="1"/>
    </xf>
    <xf numFmtId="3" fontId="74" fillId="0" borderId="48" xfId="42" applyNumberFormat="1" applyFont="1" applyBorder="1" applyAlignment="1">
      <alignment horizontal="center" vertical="center" wrapText="1"/>
    </xf>
    <xf numFmtId="185" fontId="123" fillId="0" borderId="0" xfId="0" applyNumberFormat="1" applyFont="1" applyAlignment="1">
      <alignment horizontal="center" vertical="center"/>
    </xf>
    <xf numFmtId="185" fontId="122" fillId="0" borderId="0" xfId="0" applyNumberFormat="1" applyFont="1" applyAlignment="1">
      <alignment horizontal="center" vertical="center"/>
    </xf>
    <xf numFmtId="185" fontId="122" fillId="0" borderId="0" xfId="0" applyNumberFormat="1" applyFont="1" applyAlignment="1">
      <alignment vertical="center"/>
    </xf>
    <xf numFmtId="185" fontId="0" fillId="0" borderId="0" xfId="0" applyNumberFormat="1"/>
    <xf numFmtId="185" fontId="123" fillId="0" borderId="10" xfId="0" applyNumberFormat="1" applyFont="1" applyBorder="1" applyAlignment="1">
      <alignment horizontal="center" vertical="center"/>
    </xf>
    <xf numFmtId="185" fontId="122" fillId="0" borderId="10" xfId="0" applyNumberFormat="1" applyFont="1" applyBorder="1" applyAlignment="1">
      <alignment horizontal="center" vertical="center"/>
    </xf>
    <xf numFmtId="185" fontId="122" fillId="0" borderId="10" xfId="0" applyNumberFormat="1" applyFont="1" applyBorder="1" applyAlignment="1">
      <alignment vertical="center"/>
    </xf>
    <xf numFmtId="185" fontId="74" fillId="0" borderId="10" xfId="42" applyNumberFormat="1" applyFont="1" applyBorder="1" applyAlignment="1">
      <alignment horizontal="center" vertical="center" wrapText="1"/>
    </xf>
    <xf numFmtId="3" fontId="43" fillId="0" borderId="10" xfId="0" applyNumberFormat="1" applyFont="1" applyBorder="1" applyAlignment="1">
      <alignment horizontal="center" vertical="center"/>
    </xf>
    <xf numFmtId="3" fontId="43" fillId="0" borderId="10" xfId="0" applyNumberFormat="1" applyFont="1" applyBorder="1" applyAlignment="1">
      <alignment horizontal="center" vertical="center" wrapText="1"/>
    </xf>
    <xf numFmtId="182" fontId="43" fillId="0" borderId="10" xfId="0" applyNumberFormat="1" applyFont="1" applyBorder="1" applyAlignment="1">
      <alignment horizontal="center" vertical="center" wrapText="1"/>
    </xf>
    <xf numFmtId="185" fontId="124" fillId="0" borderId="10" xfId="0" applyNumberFormat="1" applyFont="1" applyBorder="1" applyAlignment="1">
      <alignment horizontal="center" vertical="center"/>
    </xf>
    <xf numFmtId="185" fontId="124" fillId="0" borderId="10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167" fontId="43" fillId="0" borderId="10" xfId="0" applyNumberFormat="1" applyFont="1" applyBorder="1" applyAlignment="1">
      <alignment horizontal="center" vertical="center" wrapText="1"/>
    </xf>
    <xf numFmtId="0" fontId="84" fillId="0" borderId="10" xfId="0" applyFont="1" applyBorder="1"/>
    <xf numFmtId="0" fontId="84" fillId="0" borderId="10" xfId="0" applyFont="1" applyBorder="1" applyAlignment="1">
      <alignment horizontal="center"/>
    </xf>
    <xf numFmtId="185" fontId="123" fillId="0" borderId="10" xfId="0" applyNumberFormat="1" applyFont="1" applyBorder="1" applyAlignment="1">
      <alignment vertical="center"/>
    </xf>
    <xf numFmtId="0" fontId="61" fillId="0" borderId="10" xfId="0" applyFont="1" applyBorder="1" applyAlignment="1">
      <alignment wrapText="1"/>
    </xf>
    <xf numFmtId="0" fontId="61" fillId="0" borderId="10" xfId="0" applyFont="1" applyBorder="1" applyAlignment="1">
      <alignment horizontal="center" wrapText="1"/>
    </xf>
    <xf numFmtId="3" fontId="74" fillId="0" borderId="10" xfId="42" applyNumberFormat="1" applyFont="1" applyBorder="1" applyAlignment="1">
      <alignment horizontal="center" vertical="center"/>
    </xf>
    <xf numFmtId="0" fontId="69" fillId="49" borderId="10" xfId="42" applyFont="1" applyFill="1" applyBorder="1" applyAlignment="1">
      <alignment horizontal="left" vertical="center" wrapText="1"/>
    </xf>
    <xf numFmtId="0" fontId="55" fillId="49" borderId="10" xfId="42" applyFont="1" applyFill="1" applyBorder="1" applyAlignment="1">
      <alignment horizontal="left" vertical="center" wrapText="1"/>
    </xf>
    <xf numFmtId="3" fontId="74" fillId="49" borderId="10" xfId="42" applyNumberFormat="1" applyFont="1" applyFill="1" applyBorder="1" applyAlignment="1">
      <alignment horizontal="center" vertical="center" wrapText="1"/>
    </xf>
    <xf numFmtId="168" fontId="74" fillId="49" borderId="10" xfId="42" applyNumberFormat="1" applyFont="1" applyFill="1" applyBorder="1" applyAlignment="1">
      <alignment horizontal="center" vertical="center" wrapText="1"/>
    </xf>
    <xf numFmtId="167" fontId="74" fillId="49" borderId="10" xfId="42" applyNumberFormat="1" applyFont="1" applyFill="1" applyBorder="1" applyAlignment="1">
      <alignment horizontal="center" vertical="center" wrapText="1"/>
    </xf>
    <xf numFmtId="182" fontId="74" fillId="49" borderId="10" xfId="42" applyNumberFormat="1" applyFont="1" applyFill="1" applyBorder="1" applyAlignment="1">
      <alignment horizontal="center" vertical="center" wrapText="1"/>
    </xf>
    <xf numFmtId="4" fontId="74" fillId="49" borderId="10" xfId="42" applyNumberFormat="1" applyFont="1" applyFill="1" applyBorder="1" applyAlignment="1">
      <alignment horizontal="center" vertical="center" wrapText="1"/>
    </xf>
    <xf numFmtId="185" fontId="123" fillId="49" borderId="10" xfId="0" applyNumberFormat="1" applyFont="1" applyFill="1" applyBorder="1" applyAlignment="1">
      <alignment horizontal="center" vertical="center"/>
    </xf>
    <xf numFmtId="185" fontId="123" fillId="49" borderId="10" xfId="0" applyNumberFormat="1" applyFont="1" applyFill="1" applyBorder="1" applyAlignment="1">
      <alignment vertical="center"/>
    </xf>
    <xf numFmtId="0" fontId="74" fillId="49" borderId="10" xfId="42" applyFont="1" applyFill="1" applyBorder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61" fillId="0" borderId="10" xfId="0" applyFont="1" applyBorder="1" applyAlignment="1">
      <alignment horizontal="center" vertical="center"/>
    </xf>
    <xf numFmtId="0" fontId="61" fillId="0" borderId="10" xfId="0" applyFont="1" applyBorder="1" applyAlignment="1">
      <alignment vertical="center"/>
    </xf>
    <xf numFmtId="0" fontId="84" fillId="0" borderId="0" xfId="0" applyFont="1" applyAlignment="1">
      <alignment vertical="center"/>
    </xf>
    <xf numFmtId="185" fontId="61" fillId="0" borderId="10" xfId="0" applyNumberFormat="1" applyFont="1" applyBorder="1" applyAlignment="1">
      <alignment vertical="center"/>
    </xf>
    <xf numFmtId="182" fontId="84" fillId="0" borderId="10" xfId="0" applyNumberFormat="1" applyFont="1" applyBorder="1"/>
    <xf numFmtId="182" fontId="61" fillId="0" borderId="10" xfId="0" applyNumberFormat="1" applyFont="1" applyBorder="1" applyAlignment="1">
      <alignment wrapText="1"/>
    </xf>
    <xf numFmtId="0" fontId="114" fillId="0" borderId="0" xfId="61" applyFont="1" applyAlignment="1">
      <alignment horizontal="center" vertical="center" wrapText="1"/>
    </xf>
    <xf numFmtId="165" fontId="113" fillId="0" borderId="0" xfId="0" applyNumberFormat="1" applyFont="1" applyAlignment="1" applyProtection="1">
      <alignment horizontal="right" vertical="center" wrapText="1"/>
      <protection locked="0"/>
    </xf>
    <xf numFmtId="4" fontId="113" fillId="0" borderId="0" xfId="0" applyNumberFormat="1" applyFont="1" applyAlignment="1" applyProtection="1">
      <alignment horizontal="right" vertical="center" wrapText="1"/>
      <protection locked="0"/>
    </xf>
    <xf numFmtId="4" fontId="114" fillId="35" borderId="10" xfId="43" applyNumberFormat="1" applyFont="1" applyFill="1" applyBorder="1" applyAlignment="1">
      <alignment horizontal="center" vertical="center"/>
    </xf>
    <xf numFmtId="4" fontId="114" fillId="0" borderId="10" xfId="43" applyNumberFormat="1" applyFont="1" applyFill="1" applyBorder="1" applyAlignment="1">
      <alignment horizontal="center" vertical="center"/>
    </xf>
    <xf numFmtId="165" fontId="112" fillId="39" borderId="17" xfId="42" applyNumberFormat="1" applyFont="1" applyFill="1" applyBorder="1" applyAlignment="1">
      <alignment horizontal="center" vertical="center" wrapText="1"/>
    </xf>
    <xf numFmtId="165" fontId="112" fillId="50" borderId="17" xfId="42" applyNumberFormat="1" applyFont="1" applyFill="1" applyBorder="1" applyAlignment="1">
      <alignment horizontal="center" vertical="center" wrapText="1"/>
    </xf>
    <xf numFmtId="165" fontId="113" fillId="0" borderId="17" xfId="42" applyNumberFormat="1" applyFont="1" applyBorder="1" applyAlignment="1">
      <alignment horizontal="center" vertical="center" wrapText="1"/>
    </xf>
    <xf numFmtId="165" fontId="112" fillId="0" borderId="17" xfId="42" applyNumberFormat="1" applyFont="1" applyBorder="1" applyAlignment="1">
      <alignment horizontal="center" vertical="center" wrapText="1"/>
    </xf>
    <xf numFmtId="165" fontId="112" fillId="46" borderId="17" xfId="42" applyNumberFormat="1" applyFont="1" applyFill="1" applyBorder="1" applyAlignment="1">
      <alignment horizontal="center" vertical="center" wrapText="1"/>
    </xf>
    <xf numFmtId="0" fontId="124" fillId="56" borderId="10" xfId="0" applyFont="1" applyFill="1" applyBorder="1" applyAlignment="1">
      <alignment horizontal="center" vertical="center"/>
    </xf>
    <xf numFmtId="0" fontId="124" fillId="56" borderId="10" xfId="0" applyFont="1" applyFill="1" applyBorder="1" applyAlignment="1">
      <alignment horizontal="center" vertical="center" wrapText="1"/>
    </xf>
    <xf numFmtId="165" fontId="72" fillId="0" borderId="10" xfId="0" applyNumberFormat="1" applyFont="1" applyBorder="1"/>
    <xf numFmtId="0" fontId="124" fillId="0" borderId="14" xfId="0" applyFont="1" applyBorder="1" applyAlignment="1">
      <alignment horizontal="center"/>
    </xf>
    <xf numFmtId="0" fontId="45" fillId="36" borderId="0" xfId="0" applyFont="1" applyFill="1"/>
    <xf numFmtId="0" fontId="34" fillId="43" borderId="0" xfId="0" applyFont="1" applyFill="1" applyAlignment="1">
      <alignment horizontal="center" wrapText="1"/>
    </xf>
    <xf numFmtId="0" fontId="33" fillId="43" borderId="0" xfId="0" applyFont="1" applyFill="1" applyAlignment="1">
      <alignment wrapText="1"/>
    </xf>
    <xf numFmtId="0" fontId="33" fillId="43" borderId="0" xfId="0" applyFont="1" applyFill="1" applyAlignment="1">
      <alignment horizontal="right" wrapText="1"/>
    </xf>
    <xf numFmtId="3" fontId="33" fillId="43" borderId="15" xfId="0" applyNumberFormat="1" applyFont="1" applyFill="1" applyBorder="1" applyAlignment="1">
      <alignment horizontal="center" vertical="center" wrapText="1"/>
    </xf>
    <xf numFmtId="0" fontId="33" fillId="43" borderId="10" xfId="0" applyFont="1" applyFill="1" applyBorder="1" applyAlignment="1">
      <alignment horizontal="center" vertical="center" wrapText="1"/>
    </xf>
    <xf numFmtId="4" fontId="33" fillId="43" borderId="10" xfId="0" applyNumberFormat="1" applyFont="1" applyFill="1" applyBorder="1" applyAlignment="1">
      <alignment horizontal="center" vertical="center" wrapText="1"/>
    </xf>
    <xf numFmtId="0" fontId="36" fillId="43" borderId="10" xfId="0" applyFont="1" applyFill="1" applyBorder="1" applyAlignment="1">
      <alignment horizontal="center" vertical="center" wrapText="1"/>
    </xf>
    <xf numFmtId="3" fontId="38" fillId="43" borderId="18" xfId="0" applyNumberFormat="1" applyFont="1" applyFill="1" applyBorder="1" applyAlignment="1">
      <alignment horizontal="center" vertical="center" wrapText="1"/>
    </xf>
    <xf numFmtId="3" fontId="42" fillId="43" borderId="10" xfId="0" applyNumberFormat="1" applyFont="1" applyFill="1" applyBorder="1" applyAlignment="1">
      <alignment horizontal="center" vertical="center" wrapText="1"/>
    </xf>
    <xf numFmtId="4" fontId="42" fillId="43" borderId="10" xfId="0" applyNumberFormat="1" applyFont="1" applyFill="1" applyBorder="1" applyAlignment="1">
      <alignment horizontal="center" vertical="center" wrapText="1"/>
    </xf>
    <xf numFmtId="168" fontId="42" fillId="43" borderId="10" xfId="0" applyNumberFormat="1" applyFont="1" applyFill="1" applyBorder="1" applyAlignment="1">
      <alignment horizontal="center" vertical="center" wrapText="1"/>
    </xf>
    <xf numFmtId="165" fontId="42" fillId="43" borderId="10" xfId="0" applyNumberFormat="1" applyFont="1" applyFill="1" applyBorder="1" applyAlignment="1">
      <alignment horizontal="center" vertical="center" wrapText="1"/>
    </xf>
    <xf numFmtId="169" fontId="42" fillId="43" borderId="10" xfId="0" applyNumberFormat="1" applyFont="1" applyFill="1" applyBorder="1" applyAlignment="1">
      <alignment horizontal="center" vertical="center" wrapText="1"/>
    </xf>
    <xf numFmtId="167" fontId="42" fillId="43" borderId="10" xfId="0" applyNumberFormat="1" applyFont="1" applyFill="1" applyBorder="1" applyAlignment="1">
      <alignment horizontal="center" vertical="center" wrapText="1"/>
    </xf>
    <xf numFmtId="0" fontId="33" fillId="43" borderId="0" xfId="0" applyFont="1" applyFill="1" applyAlignment="1" applyProtection="1">
      <alignment wrapText="1"/>
      <protection locked="0"/>
    </xf>
    <xf numFmtId="0" fontId="40" fillId="43" borderId="0" xfId="0" applyFont="1" applyFill="1" applyAlignment="1">
      <alignment horizontal="left"/>
    </xf>
    <xf numFmtId="0" fontId="36" fillId="43" borderId="0" xfId="0" applyFont="1" applyFill="1" applyAlignment="1" applyProtection="1">
      <alignment horizontal="left"/>
      <protection locked="0"/>
    </xf>
    <xf numFmtId="0" fontId="105" fillId="0" borderId="0" xfId="0" applyFont="1" applyAlignment="1">
      <alignment horizontal="center"/>
    </xf>
    <xf numFmtId="0" fontId="10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14" fontId="81" fillId="0" borderId="0" xfId="0" applyNumberFormat="1" applyFont="1" applyAlignment="1">
      <alignment horizontal="center" vertical="center"/>
    </xf>
    <xf numFmtId="4" fontId="81" fillId="0" borderId="0" xfId="0" applyNumberFormat="1" applyFont="1" applyAlignment="1">
      <alignment horizontal="center" vertical="center"/>
    </xf>
    <xf numFmtId="168" fontId="107" fillId="0" borderId="10" xfId="42" applyNumberFormat="1" applyFont="1" applyBorder="1" applyAlignment="1">
      <alignment horizontal="left" vertical="center" wrapText="1"/>
    </xf>
    <xf numFmtId="3" fontId="112" fillId="0" borderId="10" xfId="42" applyNumberFormat="1" applyFont="1" applyBorder="1" applyAlignment="1">
      <alignment horizontal="center" vertical="center" wrapText="1"/>
    </xf>
    <xf numFmtId="168" fontId="112" fillId="0" borderId="10" xfId="42" applyNumberFormat="1" applyFont="1" applyBorder="1" applyAlignment="1">
      <alignment horizontal="center" vertical="center" wrapText="1"/>
    </xf>
    <xf numFmtId="10" fontId="112" fillId="0" borderId="17" xfId="42" applyNumberFormat="1" applyFont="1" applyBorder="1" applyAlignment="1">
      <alignment horizontal="center" vertical="center" wrapText="1"/>
    </xf>
    <xf numFmtId="167" fontId="105" fillId="0" borderId="10" xfId="43" applyNumberFormat="1" applyFont="1" applyFill="1" applyBorder="1" applyAlignment="1">
      <alignment horizontal="left" vertical="center" wrapText="1"/>
    </xf>
    <xf numFmtId="167" fontId="108" fillId="0" borderId="10" xfId="43" applyNumberFormat="1" applyFont="1" applyFill="1" applyBorder="1" applyAlignment="1">
      <alignment horizontal="left" vertical="center" wrapText="1"/>
    </xf>
    <xf numFmtId="0" fontId="105" fillId="36" borderId="0" xfId="0" applyFont="1" applyFill="1" applyAlignment="1">
      <alignment horizontal="center" vertical="center" wrapText="1"/>
    </xf>
    <xf numFmtId="0" fontId="114" fillId="36" borderId="10" xfId="61" applyFont="1" applyFill="1" applyBorder="1" applyAlignment="1">
      <alignment horizontal="center" vertical="center" wrapText="1"/>
    </xf>
    <xf numFmtId="0" fontId="103" fillId="36" borderId="10" xfId="0" applyFont="1" applyFill="1" applyBorder="1" applyAlignment="1">
      <alignment horizontal="left" vertical="center" wrapText="1"/>
    </xf>
    <xf numFmtId="165" fontId="103" fillId="36" borderId="10" xfId="62" applyNumberFormat="1" applyFont="1" applyFill="1" applyBorder="1" applyAlignment="1">
      <alignment horizontal="right" vertical="center"/>
    </xf>
    <xf numFmtId="165" fontId="113" fillId="36" borderId="10" xfId="0" applyNumberFormat="1" applyFont="1" applyFill="1" applyBorder="1" applyAlignment="1" applyProtection="1">
      <alignment horizontal="right" vertical="center" wrapText="1"/>
      <protection locked="0"/>
    </xf>
    <xf numFmtId="165" fontId="103" fillId="36" borderId="10" xfId="62" applyNumberFormat="1" applyFont="1" applyFill="1" applyBorder="1" applyAlignment="1">
      <alignment vertical="center"/>
    </xf>
    <xf numFmtId="4" fontId="103" fillId="36" borderId="10" xfId="62" applyNumberFormat="1" applyFont="1" applyFill="1" applyBorder="1" applyAlignment="1">
      <alignment horizontal="right" vertical="center"/>
    </xf>
    <xf numFmtId="4" fontId="113" fillId="36" borderId="10" xfId="0" applyNumberFormat="1" applyFont="1" applyFill="1" applyBorder="1" applyAlignment="1" applyProtection="1">
      <alignment horizontal="right" vertical="center" wrapText="1"/>
      <protection locked="0"/>
    </xf>
    <xf numFmtId="0" fontId="64" fillId="49" borderId="10" xfId="0" applyFont="1" applyFill="1" applyBorder="1" applyAlignment="1">
      <alignment horizontal="center" vertical="center" wrapText="1"/>
    </xf>
    <xf numFmtId="0" fontId="71" fillId="0" borderId="0" xfId="55"/>
    <xf numFmtId="0" fontId="71" fillId="0" borderId="10" xfId="55" applyBorder="1" applyAlignment="1">
      <alignment horizontal="center" vertical="center"/>
    </xf>
    <xf numFmtId="0" fontId="71" fillId="49" borderId="10" xfId="55" applyFill="1" applyBorder="1" applyAlignment="1">
      <alignment horizontal="center" vertical="center"/>
    </xf>
    <xf numFmtId="0" fontId="71" fillId="0" borderId="0" xfId="55" applyAlignment="1">
      <alignment horizontal="center" vertical="center"/>
    </xf>
    <xf numFmtId="0" fontId="71" fillId="0" borderId="10" xfId="55" applyBorder="1" applyAlignment="1">
      <alignment horizontal="center"/>
    </xf>
    <xf numFmtId="4" fontId="71" fillId="0" borderId="10" xfId="55" applyNumberFormat="1" applyBorder="1" applyAlignment="1">
      <alignment horizontal="center"/>
    </xf>
    <xf numFmtId="4" fontId="71" fillId="36" borderId="10" xfId="55" applyNumberFormat="1" applyFill="1" applyBorder="1" applyAlignment="1">
      <alignment horizontal="center"/>
    </xf>
    <xf numFmtId="4" fontId="71" fillId="39" borderId="10" xfId="55" applyNumberFormat="1" applyFill="1" applyBorder="1" applyAlignment="1">
      <alignment horizontal="center"/>
    </xf>
    <xf numFmtId="10" fontId="0" fillId="0" borderId="10" xfId="59" applyNumberFormat="1" applyFont="1" applyFill="1" applyBorder="1" applyAlignment="1">
      <alignment horizontal="center"/>
    </xf>
    <xf numFmtId="173" fontId="71" fillId="39" borderId="10" xfId="55" applyNumberFormat="1" applyFill="1" applyBorder="1" applyAlignment="1">
      <alignment horizontal="center"/>
    </xf>
    <xf numFmtId="0" fontId="126" fillId="0" borderId="10" xfId="55" applyFont="1" applyBorder="1" applyAlignment="1">
      <alignment horizontal="center"/>
    </xf>
    <xf numFmtId="0" fontId="71" fillId="0" borderId="0" xfId="55" applyAlignment="1">
      <alignment horizontal="center"/>
    </xf>
    <xf numFmtId="0" fontId="128" fillId="0" borderId="10" xfId="55" applyFont="1" applyBorder="1" applyAlignment="1">
      <alignment horizontal="center" vertical="center" wrapText="1"/>
    </xf>
    <xf numFmtId="0" fontId="128" fillId="0" borderId="10" xfId="55" applyFont="1" applyBorder="1" applyAlignment="1">
      <alignment horizontal="center" vertical="center"/>
    </xf>
    <xf numFmtId="0" fontId="126" fillId="0" borderId="0" xfId="55" applyFont="1" applyAlignment="1">
      <alignment horizontal="center"/>
    </xf>
    <xf numFmtId="4" fontId="71" fillId="0" borderId="0" xfId="55" applyNumberFormat="1"/>
    <xf numFmtId="0" fontId="126" fillId="0" borderId="10" xfId="55" applyFont="1" applyBorder="1" applyAlignment="1">
      <alignment horizontal="center" vertical="center"/>
    </xf>
    <xf numFmtId="175" fontId="126" fillId="0" borderId="10" xfId="55" applyNumberFormat="1" applyFont="1" applyBorder="1" applyAlignment="1">
      <alignment horizontal="center" vertical="center"/>
    </xf>
    <xf numFmtId="174" fontId="128" fillId="0" borderId="10" xfId="55" applyNumberFormat="1" applyFont="1" applyBorder="1" applyAlignment="1">
      <alignment horizontal="center" vertical="center"/>
    </xf>
    <xf numFmtId="182" fontId="128" fillId="0" borderId="10" xfId="55" applyNumberFormat="1" applyFont="1" applyBorder="1" applyAlignment="1">
      <alignment horizontal="center" vertical="center"/>
    </xf>
    <xf numFmtId="0" fontId="131" fillId="0" borderId="0" xfId="55" applyFont="1"/>
    <xf numFmtId="14" fontId="63" fillId="58" borderId="0" xfId="0" applyNumberFormat="1" applyFont="1" applyFill="1" applyAlignment="1">
      <alignment horizontal="center"/>
    </xf>
    <xf numFmtId="0" fontId="0" fillId="58" borderId="0" xfId="0" applyFill="1"/>
    <xf numFmtId="0" fontId="0" fillId="58" borderId="0" xfId="0" applyFill="1" applyAlignment="1">
      <alignment wrapText="1"/>
    </xf>
    <xf numFmtId="174" fontId="0" fillId="58" borderId="0" xfId="0" applyNumberFormat="1" applyFill="1"/>
    <xf numFmtId="14" fontId="63" fillId="36" borderId="0" xfId="0" applyNumberFormat="1" applyFont="1" applyFill="1" applyAlignment="1">
      <alignment horizontal="center"/>
    </xf>
    <xf numFmtId="0" fontId="71" fillId="44" borderId="10" xfId="55" applyFill="1" applyBorder="1" applyAlignment="1">
      <alignment horizontal="center" vertical="center" wrapText="1"/>
    </xf>
    <xf numFmtId="10" fontId="129" fillId="44" borderId="10" xfId="59" applyNumberFormat="1" applyFont="1" applyFill="1" applyBorder="1"/>
    <xf numFmtId="0" fontId="55" fillId="50" borderId="10" xfId="0" applyFont="1" applyFill="1" applyBorder="1" applyAlignment="1">
      <alignment horizontal="center" vertical="center"/>
    </xf>
    <xf numFmtId="0" fontId="55" fillId="50" borderId="10" xfId="0" applyFont="1" applyFill="1" applyBorder="1" applyAlignment="1">
      <alignment horizontal="center" vertical="center" wrapText="1"/>
    </xf>
    <xf numFmtId="182" fontId="55" fillId="50" borderId="10" xfId="0" applyNumberFormat="1" applyFont="1" applyFill="1" applyBorder="1" applyAlignment="1">
      <alignment horizontal="center" vertical="center"/>
    </xf>
    <xf numFmtId="182" fontId="55" fillId="50" borderId="13" xfId="0" applyNumberFormat="1" applyFont="1" applyFill="1" applyBorder="1" applyAlignment="1">
      <alignment horizontal="center" vertical="center"/>
    </xf>
    <xf numFmtId="0" fontId="33" fillId="36" borderId="0" xfId="0" applyFont="1" applyFill="1"/>
    <xf numFmtId="0" fontId="36" fillId="58" borderId="29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58" borderId="10" xfId="0" applyFont="1" applyFill="1" applyBorder="1" applyAlignment="1">
      <alignment horizontal="center" vertical="center"/>
    </xf>
    <xf numFmtId="0" fontId="36" fillId="36" borderId="10" xfId="0" applyFont="1" applyFill="1" applyBorder="1" applyAlignment="1">
      <alignment horizontal="center" vertical="center"/>
    </xf>
    <xf numFmtId="0" fontId="39" fillId="33" borderId="10" xfId="0" applyFont="1" applyFill="1" applyBorder="1" applyAlignment="1">
      <alignment vertical="center" wrapText="1"/>
    </xf>
    <xf numFmtId="0" fontId="39" fillId="33" borderId="10" xfId="0" applyFont="1" applyFill="1" applyBorder="1" applyAlignment="1">
      <alignment horizontal="center" vertical="center" wrapText="1"/>
    </xf>
    <xf numFmtId="0" fontId="39" fillId="58" borderId="10" xfId="0" applyFont="1" applyFill="1" applyBorder="1" applyAlignment="1">
      <alignment horizontal="center" vertical="center" wrapText="1"/>
    </xf>
    <xf numFmtId="0" fontId="39" fillId="36" borderId="10" xfId="0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vertical="center" wrapText="1"/>
    </xf>
    <xf numFmtId="3" fontId="36" fillId="58" borderId="10" xfId="0" applyNumberFormat="1" applyFont="1" applyFill="1" applyBorder="1" applyAlignment="1">
      <alignment horizontal="center" vertical="center" wrapText="1"/>
    </xf>
    <xf numFmtId="3" fontId="36" fillId="36" borderId="10" xfId="0" applyNumberFormat="1" applyFont="1" applyFill="1" applyBorder="1" applyAlignment="1">
      <alignment horizontal="center" vertical="center" wrapText="1"/>
    </xf>
    <xf numFmtId="3" fontId="36" fillId="58" borderId="10" xfId="0" applyNumberFormat="1" applyFont="1" applyFill="1" applyBorder="1" applyAlignment="1">
      <alignment horizontal="right" vertical="center" wrapText="1"/>
    </xf>
    <xf numFmtId="168" fontId="36" fillId="36" borderId="10" xfId="0" applyNumberFormat="1" applyFont="1" applyFill="1" applyBorder="1" applyAlignment="1">
      <alignment horizontal="right" vertical="center" wrapText="1"/>
    </xf>
    <xf numFmtId="3" fontId="36" fillId="36" borderId="10" xfId="0" applyNumberFormat="1" applyFont="1" applyFill="1" applyBorder="1" applyAlignment="1">
      <alignment horizontal="right" vertical="center" wrapText="1"/>
    </xf>
    <xf numFmtId="3" fontId="36" fillId="33" borderId="30" xfId="0" applyNumberFormat="1" applyFont="1" applyFill="1" applyBorder="1" applyAlignment="1">
      <alignment horizontal="right" vertical="center" wrapText="1"/>
    </xf>
    <xf numFmtId="0" fontId="36" fillId="43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3" fontId="36" fillId="0" borderId="10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3" fontId="56" fillId="36" borderId="32" xfId="42" applyNumberFormat="1" applyFont="1" applyFill="1" applyBorder="1" applyAlignment="1">
      <alignment horizontal="center" vertical="center" wrapText="1"/>
    </xf>
    <xf numFmtId="0" fontId="74" fillId="0" borderId="0" xfId="0" applyFont="1" applyAlignment="1">
      <alignment vertical="center" wrapText="1"/>
    </xf>
    <xf numFmtId="0" fontId="129" fillId="0" borderId="0" xfId="0" applyFont="1"/>
    <xf numFmtId="0" fontId="129" fillId="0" borderId="0" xfId="0" applyFont="1" applyAlignment="1">
      <alignment horizontal="center" vertical="center"/>
    </xf>
    <xf numFmtId="165" fontId="129" fillId="0" borderId="0" xfId="0" applyNumberFormat="1" applyFont="1" applyAlignment="1">
      <alignment horizontal="center" vertical="center"/>
    </xf>
    <xf numFmtId="165" fontId="129" fillId="0" borderId="0" xfId="0" applyNumberFormat="1" applyFont="1" applyAlignment="1">
      <alignment horizontal="center" vertical="center" wrapText="1"/>
    </xf>
    <xf numFmtId="0" fontId="112" fillId="0" borderId="0" xfId="0" applyFont="1" applyAlignment="1">
      <alignment horizontal="center" vertical="center" wrapText="1"/>
    </xf>
    <xf numFmtId="0" fontId="62" fillId="37" borderId="10" xfId="0" applyFont="1" applyFill="1" applyBorder="1" applyAlignment="1">
      <alignment horizontal="center" vertical="center" wrapText="1"/>
    </xf>
    <xf numFmtId="4" fontId="62" fillId="37" borderId="10" xfId="0" applyNumberFormat="1" applyFont="1" applyFill="1" applyBorder="1" applyAlignment="1">
      <alignment horizontal="center" vertical="center" wrapText="1"/>
    </xf>
    <xf numFmtId="165" fontId="62" fillId="37" borderId="10" xfId="0" applyNumberFormat="1" applyFont="1" applyFill="1" applyBorder="1" applyAlignment="1">
      <alignment horizontal="center" vertical="center" wrapText="1"/>
    </xf>
    <xf numFmtId="0" fontId="62" fillId="50" borderId="10" xfId="0" applyFont="1" applyFill="1" applyBorder="1" applyAlignment="1">
      <alignment horizontal="center" vertical="center" wrapText="1"/>
    </xf>
    <xf numFmtId="4" fontId="62" fillId="50" borderId="10" xfId="0" applyNumberFormat="1" applyFont="1" applyFill="1" applyBorder="1" applyAlignment="1">
      <alignment horizontal="center" vertical="center" wrapText="1"/>
    </xf>
    <xf numFmtId="165" fontId="62" fillId="50" borderId="10" xfId="0" applyNumberFormat="1" applyFont="1" applyFill="1" applyBorder="1" applyAlignment="1">
      <alignment horizontal="center" vertical="center" wrapText="1"/>
    </xf>
    <xf numFmtId="165" fontId="62" fillId="0" borderId="10" xfId="0" applyNumberFormat="1" applyFont="1" applyBorder="1" applyAlignment="1">
      <alignment horizontal="center" vertical="center" wrapText="1"/>
    </xf>
    <xf numFmtId="0" fontId="13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2" fillId="0" borderId="10" xfId="0" applyFont="1" applyBorder="1" applyAlignment="1">
      <alignment horizontal="left" vertical="center" wrapText="1"/>
    </xf>
    <xf numFmtId="165" fontId="62" fillId="50" borderId="13" xfId="0" applyNumberFormat="1" applyFont="1" applyFill="1" applyBorder="1" applyAlignment="1">
      <alignment horizontal="left" wrapText="1"/>
    </xf>
    <xf numFmtId="0" fontId="133" fillId="0" borderId="10" xfId="0" applyFont="1" applyBorder="1" applyAlignment="1">
      <alignment horizontal="center" vertical="center"/>
    </xf>
    <xf numFmtId="0" fontId="133" fillId="0" borderId="0" xfId="0" applyFont="1" applyAlignment="1">
      <alignment horizontal="center" vertical="center"/>
    </xf>
    <xf numFmtId="0" fontId="62" fillId="37" borderId="10" xfId="0" applyFont="1" applyFill="1" applyBorder="1" applyAlignment="1">
      <alignment horizontal="center" vertical="center"/>
    </xf>
    <xf numFmtId="0" fontId="62" fillId="37" borderId="10" xfId="0" applyFont="1" applyFill="1" applyBorder="1" applyAlignment="1">
      <alignment horizontal="left" vertical="center" wrapText="1"/>
    </xf>
    <xf numFmtId="4" fontId="62" fillId="37" borderId="10" xfId="0" applyNumberFormat="1" applyFont="1" applyFill="1" applyBorder="1" applyAlignment="1">
      <alignment horizontal="center" vertical="center"/>
    </xf>
    <xf numFmtId="3" fontId="62" fillId="37" borderId="10" xfId="0" applyNumberFormat="1" applyFont="1" applyFill="1" applyBorder="1" applyAlignment="1">
      <alignment horizontal="center" vertical="center"/>
    </xf>
    <xf numFmtId="165" fontId="62" fillId="37" borderId="10" xfId="0" applyNumberFormat="1" applyFont="1" applyFill="1" applyBorder="1" applyAlignment="1">
      <alignment horizontal="center" vertical="center"/>
    </xf>
    <xf numFmtId="165" fontId="62" fillId="50" borderId="10" xfId="0" applyNumberFormat="1" applyFont="1" applyFill="1" applyBorder="1" applyAlignment="1">
      <alignment horizontal="left" wrapText="1"/>
    </xf>
    <xf numFmtId="0" fontId="62" fillId="50" borderId="10" xfId="0" applyFont="1" applyFill="1" applyBorder="1" applyAlignment="1">
      <alignment horizontal="center" vertical="center"/>
    </xf>
    <xf numFmtId="0" fontId="62" fillId="50" borderId="10" xfId="0" applyFont="1" applyFill="1" applyBorder="1" applyAlignment="1">
      <alignment horizontal="left" vertical="center" wrapText="1"/>
    </xf>
    <xf numFmtId="4" fontId="62" fillId="50" borderId="10" xfId="0" applyNumberFormat="1" applyFont="1" applyFill="1" applyBorder="1" applyAlignment="1">
      <alignment horizontal="center" vertical="center"/>
    </xf>
    <xf numFmtId="3" fontId="62" fillId="50" borderId="10" xfId="0" applyNumberFormat="1" applyFont="1" applyFill="1" applyBorder="1" applyAlignment="1">
      <alignment horizontal="center" vertical="center"/>
    </xf>
    <xf numFmtId="165" fontId="62" fillId="50" borderId="10" xfId="0" applyNumberFormat="1" applyFont="1" applyFill="1" applyBorder="1" applyAlignment="1">
      <alignment horizontal="center" vertical="center"/>
    </xf>
    <xf numFmtId="165" fontId="62" fillId="50" borderId="10" xfId="0" applyNumberFormat="1" applyFont="1" applyFill="1" applyBorder="1" applyAlignment="1">
      <alignment horizontal="left" vertical="center" wrapText="1"/>
    </xf>
    <xf numFmtId="0" fontId="64" fillId="47" borderId="10" xfId="0" applyFont="1" applyFill="1" applyBorder="1" applyAlignment="1">
      <alignment horizontal="left" vertical="center" wrapText="1"/>
    </xf>
    <xf numFmtId="0" fontId="64" fillId="37" borderId="10" xfId="0" applyFont="1" applyFill="1" applyBorder="1" applyAlignment="1">
      <alignment horizontal="center" vertical="center"/>
    </xf>
    <xf numFmtId="0" fontId="64" fillId="37" borderId="10" xfId="0" applyFont="1" applyFill="1" applyBorder="1" applyAlignment="1">
      <alignment horizontal="left" vertical="center" wrapText="1"/>
    </xf>
    <xf numFmtId="4" fontId="64" fillId="37" borderId="10" xfId="0" applyNumberFormat="1" applyFont="1" applyFill="1" applyBorder="1" applyAlignment="1">
      <alignment horizontal="center" vertical="center"/>
    </xf>
    <xf numFmtId="0" fontId="64" fillId="37" borderId="10" xfId="0" applyFont="1" applyFill="1" applyBorder="1" applyAlignment="1">
      <alignment horizontal="center" vertical="center" wrapText="1"/>
    </xf>
    <xf numFmtId="3" fontId="64" fillId="37" borderId="10" xfId="0" applyNumberFormat="1" applyFont="1" applyFill="1" applyBorder="1" applyAlignment="1">
      <alignment horizontal="center" vertical="center"/>
    </xf>
    <xf numFmtId="165" fontId="64" fillId="37" borderId="10" xfId="0" applyNumberFormat="1" applyFont="1" applyFill="1" applyBorder="1" applyAlignment="1">
      <alignment horizontal="center" vertical="center"/>
    </xf>
    <xf numFmtId="165" fontId="64" fillId="50" borderId="10" xfId="0" applyNumberFormat="1" applyFont="1" applyFill="1" applyBorder="1" applyAlignment="1">
      <alignment horizontal="center" vertical="center" wrapText="1"/>
    </xf>
    <xf numFmtId="165" fontId="64" fillId="50" borderId="10" xfId="0" applyNumberFormat="1" applyFont="1" applyFill="1" applyBorder="1" applyAlignment="1">
      <alignment horizontal="center" vertical="center"/>
    </xf>
    <xf numFmtId="165" fontId="62" fillId="0" borderId="10" xfId="0" applyNumberFormat="1" applyFont="1" applyBorder="1" applyAlignment="1">
      <alignment horizontal="center" vertical="center"/>
    </xf>
    <xf numFmtId="3" fontId="64" fillId="47" borderId="10" xfId="0" applyNumberFormat="1" applyFont="1" applyFill="1" applyBorder="1" applyAlignment="1">
      <alignment horizontal="center" vertical="center"/>
    </xf>
    <xf numFmtId="0" fontId="134" fillId="0" borderId="0" xfId="0" applyFont="1" applyAlignment="1">
      <alignment horizontal="center" vertical="center"/>
    </xf>
    <xf numFmtId="0" fontId="134" fillId="0" borderId="10" xfId="0" applyFont="1" applyBorder="1" applyAlignment="1">
      <alignment horizontal="center" vertical="center"/>
    </xf>
    <xf numFmtId="3" fontId="101" fillId="37" borderId="10" xfId="0" applyNumberFormat="1" applyFont="1" applyFill="1" applyBorder="1" applyAlignment="1">
      <alignment horizontal="center" vertical="center"/>
    </xf>
    <xf numFmtId="182" fontId="101" fillId="37" borderId="10" xfId="0" applyNumberFormat="1" applyFont="1" applyFill="1" applyBorder="1" applyAlignment="1">
      <alignment horizontal="center" vertical="center" wrapText="1"/>
    </xf>
    <xf numFmtId="0" fontId="64" fillId="40" borderId="10" xfId="0" applyFont="1" applyFill="1" applyBorder="1" applyAlignment="1">
      <alignment horizontal="left" vertical="center" wrapText="1"/>
    </xf>
    <xf numFmtId="0" fontId="64" fillId="59" borderId="10" xfId="0" applyFont="1" applyFill="1" applyBorder="1" applyAlignment="1">
      <alignment horizontal="left" vertical="center" wrapText="1"/>
    </xf>
    <xf numFmtId="165" fontId="135" fillId="37" borderId="10" xfId="0" applyNumberFormat="1" applyFont="1" applyFill="1" applyBorder="1" applyAlignment="1">
      <alignment horizontal="center" vertical="center"/>
    </xf>
    <xf numFmtId="0" fontId="61" fillId="0" borderId="10" xfId="0" applyFont="1" applyBorder="1"/>
    <xf numFmtId="0" fontId="61" fillId="0" borderId="0" xfId="0" applyFont="1"/>
    <xf numFmtId="0" fontId="133" fillId="0" borderId="10" xfId="0" applyFont="1" applyBorder="1"/>
    <xf numFmtId="0" fontId="133" fillId="0" borderId="0" xfId="0" applyFont="1"/>
    <xf numFmtId="0" fontId="134" fillId="0" borderId="10" xfId="0" applyFont="1" applyBorder="1"/>
    <xf numFmtId="0" fontId="134" fillId="0" borderId="0" xfId="0" applyFont="1"/>
    <xf numFmtId="0" fontId="64" fillId="0" borderId="10" xfId="0" applyFont="1" applyBorder="1" applyAlignment="1">
      <alignment horizontal="left" vertical="center" wrapText="1"/>
    </xf>
    <xf numFmtId="165" fontId="64" fillId="50" borderId="10" xfId="0" applyNumberFormat="1" applyFont="1" applyFill="1" applyBorder="1" applyAlignment="1">
      <alignment horizontal="left" vertical="center" wrapText="1"/>
    </xf>
    <xf numFmtId="4" fontId="64" fillId="50" borderId="10" xfId="0" applyNumberFormat="1" applyFont="1" applyFill="1" applyBorder="1" applyAlignment="1">
      <alignment horizontal="center" vertical="center"/>
    </xf>
    <xf numFmtId="0" fontId="64" fillId="37" borderId="10" xfId="0" applyFont="1" applyFill="1" applyBorder="1" applyAlignment="1">
      <alignment horizontal="center"/>
    </xf>
    <xf numFmtId="0" fontId="64" fillId="37" borderId="10" xfId="0" applyFont="1" applyFill="1" applyBorder="1" applyAlignment="1">
      <alignment horizontal="left" wrapText="1"/>
    </xf>
    <xf numFmtId="4" fontId="64" fillId="37" borderId="10" xfId="0" applyNumberFormat="1" applyFont="1" applyFill="1" applyBorder="1" applyAlignment="1">
      <alignment horizontal="center"/>
    </xf>
    <xf numFmtId="0" fontId="64" fillId="37" borderId="10" xfId="0" applyFont="1" applyFill="1" applyBorder="1"/>
    <xf numFmtId="0" fontId="0" fillId="0" borderId="0" xfId="0" applyAlignment="1">
      <alignment horizontal="left"/>
    </xf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 wrapText="1"/>
    </xf>
    <xf numFmtId="4" fontId="129" fillId="37" borderId="0" xfId="0" applyNumberFormat="1" applyFont="1" applyFill="1" applyAlignment="1">
      <alignment horizontal="center"/>
    </xf>
    <xf numFmtId="0" fontId="129" fillId="37" borderId="0" xfId="0" applyFont="1" applyFill="1"/>
    <xf numFmtId="0" fontId="129" fillId="37" borderId="0" xfId="0" applyFont="1" applyFill="1" applyAlignment="1">
      <alignment horizontal="center" vertical="center"/>
    </xf>
    <xf numFmtId="165" fontId="129" fillId="37" borderId="0" xfId="0" applyNumberFormat="1" applyFont="1" applyFill="1" applyAlignment="1">
      <alignment horizontal="center" vertical="center"/>
    </xf>
    <xf numFmtId="165" fontId="129" fillId="50" borderId="0" xfId="0" applyNumberFormat="1" applyFont="1" applyFill="1" applyAlignment="1">
      <alignment horizontal="center" vertical="center" wrapText="1"/>
    </xf>
    <xf numFmtId="165" fontId="129" fillId="50" borderId="0" xfId="0" applyNumberFormat="1" applyFont="1" applyFill="1" applyAlignment="1">
      <alignment horizontal="center" vertical="center"/>
    </xf>
    <xf numFmtId="0" fontId="36" fillId="36" borderId="10" xfId="0" applyFont="1" applyFill="1" applyBorder="1" applyAlignment="1">
      <alignment vertical="center" wrapText="1"/>
    </xf>
    <xf numFmtId="0" fontId="102" fillId="0" borderId="0" xfId="0" applyFont="1"/>
    <xf numFmtId="168" fontId="102" fillId="0" borderId="0" xfId="0" applyNumberFormat="1" applyFont="1"/>
    <xf numFmtId="3" fontId="62" fillId="50" borderId="51" xfId="0" applyNumberFormat="1" applyFont="1" applyFill="1" applyBorder="1" applyAlignment="1">
      <alignment horizontal="center" vertical="center" wrapText="1"/>
    </xf>
    <xf numFmtId="167" fontId="62" fillId="50" borderId="17" xfId="0" applyNumberFormat="1" applyFont="1" applyFill="1" applyBorder="1" applyAlignment="1">
      <alignment horizontal="center" vertical="center" wrapText="1"/>
    </xf>
    <xf numFmtId="3" fontId="56" fillId="41" borderId="32" xfId="42" applyNumberFormat="1" applyFont="1" applyFill="1" applyBorder="1" applyAlignment="1">
      <alignment horizontal="center" vertical="center" wrapText="1"/>
    </xf>
    <xf numFmtId="0" fontId="56" fillId="0" borderId="32" xfId="42" applyFont="1" applyBorder="1" applyAlignment="1">
      <alignment horizontal="left" vertical="center" wrapText="1"/>
    </xf>
    <xf numFmtId="4" fontId="56" fillId="50" borderId="33" xfId="42" applyNumberFormat="1" applyFont="1" applyFill="1" applyBorder="1" applyAlignment="1">
      <alignment horizontal="center" vertical="center" wrapText="1"/>
    </xf>
    <xf numFmtId="0" fontId="56" fillId="36" borderId="32" xfId="42" applyFont="1" applyFill="1" applyBorder="1" applyAlignment="1">
      <alignment horizontal="left" vertical="center" wrapText="1"/>
    </xf>
    <xf numFmtId="4" fontId="56" fillId="36" borderId="33" xfId="42" applyNumberFormat="1" applyFont="1" applyFill="1" applyBorder="1" applyAlignment="1">
      <alignment horizontal="center" vertical="center" wrapText="1"/>
    </xf>
    <xf numFmtId="0" fontId="56" fillId="0" borderId="34" xfId="42" applyFont="1" applyBorder="1" applyAlignment="1">
      <alignment horizontal="left" vertical="center" wrapText="1"/>
    </xf>
    <xf numFmtId="3" fontId="56" fillId="41" borderId="34" xfId="42" applyNumberFormat="1" applyFont="1" applyFill="1" applyBorder="1" applyAlignment="1">
      <alignment horizontal="center" vertical="center" wrapText="1"/>
    </xf>
    <xf numFmtId="3" fontId="56" fillId="50" borderId="34" xfId="42" applyNumberFormat="1" applyFont="1" applyFill="1" applyBorder="1" applyAlignment="1">
      <alignment horizontal="center" vertical="center" wrapText="1"/>
    </xf>
    <xf numFmtId="168" fontId="56" fillId="50" borderId="35" xfId="42" applyNumberFormat="1" applyFont="1" applyFill="1" applyBorder="1" applyAlignment="1">
      <alignment horizontal="center" vertical="center" wrapText="1"/>
    </xf>
    <xf numFmtId="4" fontId="56" fillId="50" borderId="36" xfId="42" applyNumberFormat="1" applyFont="1" applyFill="1" applyBorder="1" applyAlignment="1">
      <alignment horizontal="center" vertical="center" wrapText="1"/>
    </xf>
    <xf numFmtId="4" fontId="62" fillId="50" borderId="33" xfId="0" applyNumberFormat="1" applyFont="1" applyFill="1" applyBorder="1" applyAlignment="1">
      <alignment horizontal="center" vertical="center" wrapText="1"/>
    </xf>
    <xf numFmtId="0" fontId="72" fillId="0" borderId="0" xfId="0" applyFont="1"/>
    <xf numFmtId="0" fontId="31" fillId="0" borderId="10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1" fillId="0" borderId="10" xfId="0" applyFont="1" applyBorder="1" applyAlignment="1">
      <alignment horizontal="center" wrapText="1"/>
    </xf>
    <xf numFmtId="3" fontId="0" fillId="0" borderId="10" xfId="0" applyNumberFormat="1" applyBorder="1" applyAlignment="1">
      <alignment horizontal="center"/>
    </xf>
    <xf numFmtId="0" fontId="31" fillId="0" borderId="10" xfId="0" applyFont="1" applyBorder="1" applyAlignment="1">
      <alignment horizontal="center"/>
    </xf>
    <xf numFmtId="3" fontId="31" fillId="0" borderId="10" xfId="0" applyNumberFormat="1" applyFont="1" applyBorder="1" applyAlignment="1">
      <alignment horizontal="center"/>
    </xf>
    <xf numFmtId="3" fontId="31" fillId="0" borderId="10" xfId="0" applyNumberFormat="1" applyFont="1" applyBorder="1" applyAlignment="1">
      <alignment horizontal="center" vertical="center"/>
    </xf>
    <xf numFmtId="10" fontId="0" fillId="0" borderId="0" xfId="59" applyNumberFormat="1" applyFont="1"/>
    <xf numFmtId="0" fontId="131" fillId="0" borderId="0" xfId="0" applyFont="1"/>
    <xf numFmtId="4" fontId="0" fillId="36" borderId="0" xfId="0" applyNumberFormat="1" applyFill="1" applyAlignment="1">
      <alignment horizontal="center"/>
    </xf>
    <xf numFmtId="190" fontId="69" fillId="0" borderId="0" xfId="0" applyNumberFormat="1" applyFont="1"/>
    <xf numFmtId="0" fontId="137" fillId="36" borderId="10" xfId="0" applyFont="1" applyFill="1" applyBorder="1" applyAlignment="1">
      <alignment horizontal="center" wrapText="1"/>
    </xf>
    <xf numFmtId="4" fontId="47" fillId="36" borderId="10" xfId="0" applyNumberFormat="1" applyFont="1" applyFill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3" fontId="138" fillId="0" borderId="0" xfId="0" applyNumberFormat="1" applyFont="1"/>
    <xf numFmtId="10" fontId="55" fillId="50" borderId="10" xfId="0" applyNumberFormat="1" applyFont="1" applyFill="1" applyBorder="1" applyAlignment="1">
      <alignment horizontal="center" vertical="center"/>
    </xf>
    <xf numFmtId="3" fontId="106" fillId="0" borderId="44" xfId="42" applyNumberFormat="1" applyFont="1" applyBorder="1" applyAlignment="1">
      <alignment horizontal="center" vertical="center" wrapText="1"/>
    </xf>
    <xf numFmtId="3" fontId="106" fillId="0" borderId="48" xfId="42" applyNumberFormat="1" applyFont="1" applyBorder="1" applyAlignment="1">
      <alignment horizontal="center" vertical="center" wrapText="1"/>
    </xf>
    <xf numFmtId="3" fontId="106" fillId="47" borderId="48" xfId="42" applyNumberFormat="1" applyFont="1" applyFill="1" applyBorder="1" applyAlignment="1">
      <alignment horizontal="center" vertical="center" wrapText="1"/>
    </xf>
    <xf numFmtId="3" fontId="106" fillId="40" borderId="48" xfId="42" applyNumberFormat="1" applyFont="1" applyFill="1" applyBorder="1" applyAlignment="1">
      <alignment horizontal="center" vertical="center" wrapText="1"/>
    </xf>
    <xf numFmtId="3" fontId="106" fillId="40" borderId="56" xfId="42" applyNumberFormat="1" applyFont="1" applyFill="1" applyBorder="1" applyAlignment="1">
      <alignment horizontal="center" vertical="center" wrapText="1"/>
    </xf>
    <xf numFmtId="0" fontId="107" fillId="47" borderId="35" xfId="0" applyFont="1" applyFill="1" applyBorder="1" applyAlignment="1">
      <alignment horizontal="center" vertical="center" wrapText="1"/>
    </xf>
    <xf numFmtId="0" fontId="107" fillId="40" borderId="35" xfId="0" applyFont="1" applyFill="1" applyBorder="1" applyAlignment="1">
      <alignment horizontal="center" vertical="center" wrapText="1"/>
    </xf>
    <xf numFmtId="0" fontId="107" fillId="40" borderId="36" xfId="0" applyFont="1" applyFill="1" applyBorder="1" applyAlignment="1">
      <alignment horizontal="center" vertical="center" wrapText="1"/>
    </xf>
    <xf numFmtId="49" fontId="112" fillId="54" borderId="10" xfId="42" applyNumberFormat="1" applyFont="1" applyFill="1" applyBorder="1" applyAlignment="1">
      <alignment horizontal="center" vertical="center" wrapText="1"/>
    </xf>
    <xf numFmtId="49" fontId="112" fillId="0" borderId="17" xfId="42" applyNumberFormat="1" applyFont="1" applyBorder="1" applyAlignment="1">
      <alignment horizontal="center" vertical="center" wrapText="1"/>
    </xf>
    <xf numFmtId="0" fontId="84" fillId="0" borderId="10" xfId="0" applyFont="1" applyBorder="1" applyAlignment="1">
      <alignment horizontal="left"/>
    </xf>
    <xf numFmtId="3" fontId="84" fillId="60" borderId="10" xfId="0" applyNumberFormat="1" applyFont="1" applyFill="1" applyBorder="1" applyAlignment="1">
      <alignment horizontal="center"/>
    </xf>
    <xf numFmtId="4" fontId="84" fillId="60" borderId="10" xfId="0" applyNumberFormat="1" applyFont="1" applyFill="1" applyBorder="1" applyAlignment="1">
      <alignment horizontal="center"/>
    </xf>
    <xf numFmtId="0" fontId="139" fillId="0" borderId="10" xfId="0" applyFont="1" applyBorder="1" applyAlignment="1">
      <alignment horizontal="left"/>
    </xf>
    <xf numFmtId="3" fontId="139" fillId="60" borderId="10" xfId="0" applyNumberFormat="1" applyFont="1" applyFill="1" applyBorder="1" applyAlignment="1">
      <alignment horizontal="center"/>
    </xf>
    <xf numFmtId="4" fontId="139" fillId="60" borderId="10" xfId="0" applyNumberFormat="1" applyFont="1" applyFill="1" applyBorder="1" applyAlignment="1">
      <alignment horizontal="center"/>
    </xf>
    <xf numFmtId="3" fontId="139" fillId="0" borderId="10" xfId="0" applyNumberFormat="1" applyFont="1" applyBorder="1" applyAlignment="1">
      <alignment horizontal="center"/>
    </xf>
    <xf numFmtId="4" fontId="139" fillId="0" borderId="10" xfId="0" applyNumberFormat="1" applyFont="1" applyBorder="1" applyAlignment="1">
      <alignment horizontal="center"/>
    </xf>
    <xf numFmtId="0" fontId="85" fillId="0" borderId="10" xfId="0" applyFont="1" applyBorder="1" applyAlignment="1">
      <alignment horizontal="left"/>
    </xf>
    <xf numFmtId="4" fontId="84" fillId="39" borderId="10" xfId="0" applyNumberFormat="1" applyFont="1" applyFill="1" applyBorder="1" applyAlignment="1">
      <alignment horizontal="center"/>
    </xf>
    <xf numFmtId="3" fontId="84" fillId="49" borderId="10" xfId="0" applyNumberFormat="1" applyFont="1" applyFill="1" applyBorder="1" applyAlignment="1">
      <alignment horizontal="center"/>
    </xf>
    <xf numFmtId="167" fontId="84" fillId="49" borderId="10" xfId="0" applyNumberFormat="1" applyFont="1" applyFill="1" applyBorder="1" applyAlignment="1">
      <alignment horizontal="center"/>
    </xf>
    <xf numFmtId="0" fontId="85" fillId="36" borderId="10" xfId="0" applyFont="1" applyFill="1" applyBorder="1" applyAlignment="1">
      <alignment horizontal="center" vertical="center"/>
    </xf>
    <xf numFmtId="0" fontId="85" fillId="36" borderId="10" xfId="0" applyFont="1" applyFill="1" applyBorder="1" applyAlignment="1">
      <alignment horizontal="center" vertical="center" wrapText="1"/>
    </xf>
    <xf numFmtId="4" fontId="85" fillId="36" borderId="10" xfId="0" applyNumberFormat="1" applyFont="1" applyFill="1" applyBorder="1" applyAlignment="1">
      <alignment horizontal="center" vertical="center" wrapText="1"/>
    </xf>
    <xf numFmtId="0" fontId="55" fillId="39" borderId="10" xfId="0" applyFont="1" applyFill="1" applyBorder="1" applyAlignment="1">
      <alignment horizontal="center" vertical="center" wrapText="1"/>
    </xf>
    <xf numFmtId="174" fontId="55" fillId="39" borderId="10" xfId="0" applyNumberFormat="1" applyFont="1" applyFill="1" applyBorder="1" applyAlignment="1">
      <alignment horizontal="center" vertical="center"/>
    </xf>
    <xf numFmtId="3" fontId="69" fillId="0" borderId="0" xfId="0" applyNumberFormat="1" applyFont="1"/>
    <xf numFmtId="183" fontId="93" fillId="0" borderId="0" xfId="0" applyNumberFormat="1" applyFont="1"/>
    <xf numFmtId="171" fontId="69" fillId="0" borderId="10" xfId="0" applyNumberFormat="1" applyFont="1" applyBorder="1"/>
    <xf numFmtId="0" fontId="45" fillId="0" borderId="10" xfId="0" applyFont="1" applyBorder="1"/>
    <xf numFmtId="0" fontId="69" fillId="46" borderId="10" xfId="0" applyFont="1" applyFill="1" applyBorder="1"/>
    <xf numFmtId="182" fontId="96" fillId="46" borderId="10" xfId="59" applyNumberFormat="1" applyFont="1" applyFill="1" applyBorder="1" applyAlignment="1">
      <alignment horizontal="center" vertical="center"/>
    </xf>
    <xf numFmtId="165" fontId="80" fillId="48" borderId="10" xfId="0" applyNumberFormat="1" applyFont="1" applyFill="1" applyBorder="1"/>
    <xf numFmtId="165" fontId="65" fillId="48" borderId="10" xfId="0" applyNumberFormat="1" applyFont="1" applyFill="1" applyBorder="1"/>
    <xf numFmtId="0" fontId="105" fillId="0" borderId="0" xfId="0" applyFont="1" applyAlignment="1">
      <alignment vertical="center"/>
    </xf>
    <xf numFmtId="0" fontId="65" fillId="0" borderId="0" xfId="0" applyFont="1" applyAlignment="1">
      <alignment horizontal="center" wrapText="1"/>
    </xf>
    <xf numFmtId="4" fontId="65" fillId="0" borderId="0" xfId="0" applyNumberFormat="1" applyFont="1" applyAlignment="1">
      <alignment horizontal="center"/>
    </xf>
    <xf numFmtId="0" fontId="65" fillId="0" borderId="10" xfId="0" applyFont="1" applyBorder="1" applyAlignment="1">
      <alignment horizontal="center" vertical="center" wrapText="1"/>
    </xf>
    <xf numFmtId="4" fontId="65" fillId="0" borderId="10" xfId="0" applyNumberFormat="1" applyFont="1" applyBorder="1" applyAlignment="1">
      <alignment horizontal="center" vertical="center" wrapText="1"/>
    </xf>
    <xf numFmtId="0" fontId="65" fillId="47" borderId="10" xfId="0" applyFont="1" applyFill="1" applyBorder="1" applyAlignment="1">
      <alignment horizontal="center" vertical="center" wrapText="1"/>
    </xf>
    <xf numFmtId="165" fontId="81" fillId="0" borderId="10" xfId="0" applyNumberFormat="1" applyFont="1" applyBorder="1" applyAlignment="1">
      <alignment wrapText="1"/>
    </xf>
    <xf numFmtId="4" fontId="140" fillId="0" borderId="10" xfId="0" applyNumberFormat="1" applyFont="1" applyBorder="1" applyAlignment="1">
      <alignment horizontal="center" vertical="center" wrapText="1"/>
    </xf>
    <xf numFmtId="167" fontId="110" fillId="0" borderId="10" xfId="43" applyNumberFormat="1" applyFont="1" applyFill="1" applyBorder="1" applyAlignment="1">
      <alignment horizontal="left" vertical="center" wrapText="1"/>
    </xf>
    <xf numFmtId="10" fontId="113" fillId="0" borderId="17" xfId="42" applyNumberFormat="1" applyFont="1" applyBorder="1" applyAlignment="1">
      <alignment horizontal="center" vertical="center" wrapText="1"/>
    </xf>
    <xf numFmtId="4" fontId="105" fillId="0" borderId="10" xfId="43" applyNumberFormat="1" applyFont="1" applyFill="1" applyBorder="1" applyAlignment="1">
      <alignment horizontal="left" vertical="center" wrapText="1"/>
    </xf>
    <xf numFmtId="0" fontId="84" fillId="36" borderId="10" xfId="0" applyFont="1" applyFill="1" applyBorder="1" applyAlignment="1">
      <alignment horizontal="center" vertical="center"/>
    </xf>
    <xf numFmtId="0" fontId="84" fillId="36" borderId="10" xfId="0" applyFont="1" applyFill="1" applyBorder="1" applyAlignment="1">
      <alignment horizontal="center" vertical="center" wrapText="1"/>
    </xf>
    <xf numFmtId="4" fontId="84" fillId="36" borderId="10" xfId="0" applyNumberFormat="1" applyFont="1" applyFill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105" fillId="0" borderId="0" xfId="55" applyFont="1" applyAlignment="1">
      <alignment horizontal="center"/>
    </xf>
    <xf numFmtId="0" fontId="81" fillId="0" borderId="0" xfId="55" applyFont="1"/>
    <xf numFmtId="3" fontId="81" fillId="0" borderId="0" xfId="55" applyNumberFormat="1" applyFont="1"/>
    <xf numFmtId="182" fontId="114" fillId="39" borderId="10" xfId="59" applyNumberFormat="1" applyFont="1" applyFill="1" applyBorder="1" applyAlignment="1">
      <alignment horizontal="center" vertical="center" wrapText="1"/>
    </xf>
    <xf numFmtId="4" fontId="81" fillId="0" borderId="0" xfId="55" applyNumberFormat="1" applyFont="1"/>
    <xf numFmtId="0" fontId="114" fillId="0" borderId="10" xfId="55" applyFont="1" applyBorder="1"/>
    <xf numFmtId="0" fontId="114" fillId="0" borderId="0" xfId="55" applyFont="1"/>
    <xf numFmtId="3" fontId="114" fillId="0" borderId="10" xfId="55" applyNumberFormat="1" applyFont="1" applyBorder="1"/>
    <xf numFmtId="172" fontId="114" fillId="0" borderId="10" xfId="55" applyNumberFormat="1" applyFont="1" applyBorder="1"/>
    <xf numFmtId="172" fontId="114" fillId="0" borderId="0" xfId="55" applyNumberFormat="1" applyFont="1"/>
    <xf numFmtId="183" fontId="114" fillId="0" borderId="10" xfId="55" applyNumberFormat="1" applyFont="1" applyBorder="1"/>
    <xf numFmtId="183" fontId="114" fillId="0" borderId="0" xfId="55" applyNumberFormat="1" applyFont="1"/>
    <xf numFmtId="0" fontId="83" fillId="0" borderId="10" xfId="55" applyFont="1" applyBorder="1" applyAlignment="1">
      <alignment horizontal="center"/>
    </xf>
    <xf numFmtId="0" fontId="83" fillId="0" borderId="10" xfId="55" applyFont="1" applyBorder="1" applyAlignment="1">
      <alignment vertical="center"/>
    </xf>
    <xf numFmtId="0" fontId="83" fillId="0" borderId="15" xfId="55" applyFont="1" applyBorder="1" applyAlignment="1">
      <alignment vertical="center"/>
    </xf>
    <xf numFmtId="0" fontId="83" fillId="0" borderId="16" xfId="55" applyFont="1" applyBorder="1" applyAlignment="1">
      <alignment vertical="center"/>
    </xf>
    <xf numFmtId="0" fontId="46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4" fontId="46" fillId="40" borderId="10" xfId="0" applyNumberFormat="1" applyFont="1" applyFill="1" applyBorder="1" applyAlignment="1">
      <alignment horizontal="center" vertical="center"/>
    </xf>
    <xf numFmtId="4" fontId="46" fillId="0" borderId="10" xfId="0" applyNumberFormat="1" applyFont="1" applyBorder="1" applyAlignment="1">
      <alignment horizontal="center" vertical="center"/>
    </xf>
    <xf numFmtId="4" fontId="52" fillId="0" borderId="10" xfId="0" applyNumberFormat="1" applyFont="1" applyBorder="1" applyAlignment="1">
      <alignment horizontal="center" vertical="center"/>
    </xf>
    <xf numFmtId="4" fontId="47" fillId="0" borderId="10" xfId="0" applyNumberFormat="1" applyFont="1" applyBorder="1" applyAlignment="1">
      <alignment horizontal="center" vertical="center"/>
    </xf>
    <xf numFmtId="4" fontId="44" fillId="0" borderId="10" xfId="0" applyNumberFormat="1" applyFont="1" applyBorder="1" applyAlignment="1">
      <alignment horizontal="center" vertical="center"/>
    </xf>
    <xf numFmtId="173" fontId="44" fillId="50" borderId="10" xfId="0" applyNumberFormat="1" applyFont="1" applyFill="1" applyBorder="1" applyAlignment="1">
      <alignment horizontal="center" vertical="center"/>
    </xf>
    <xf numFmtId="173" fontId="47" fillId="50" borderId="10" xfId="0" applyNumberFormat="1" applyFont="1" applyFill="1" applyBorder="1" applyAlignment="1">
      <alignment horizontal="center" vertical="center"/>
    </xf>
    <xf numFmtId="167" fontId="44" fillId="40" borderId="10" xfId="0" applyNumberFormat="1" applyFont="1" applyFill="1" applyBorder="1" applyAlignment="1">
      <alignment horizontal="center" vertical="center"/>
    </xf>
    <xf numFmtId="4" fontId="44" fillId="40" borderId="10" xfId="0" applyNumberFormat="1" applyFont="1" applyFill="1" applyBorder="1" applyAlignment="1">
      <alignment horizontal="center" vertical="center"/>
    </xf>
    <xf numFmtId="0" fontId="85" fillId="0" borderId="0" xfId="0" applyFont="1"/>
    <xf numFmtId="0" fontId="31" fillId="0" borderId="0" xfId="0" applyFont="1"/>
    <xf numFmtId="0" fontId="77" fillId="0" borderId="10" xfId="0" applyFont="1" applyBorder="1" applyAlignment="1">
      <alignment horizontal="center" vertical="center" wrapText="1"/>
    </xf>
    <xf numFmtId="4" fontId="84" fillId="0" borderId="0" xfId="0" applyNumberFormat="1" applyFont="1"/>
    <xf numFmtId="0" fontId="73" fillId="0" borderId="10" xfId="0" applyFont="1" applyBorder="1" applyAlignment="1">
      <alignment horizontal="center" vertical="center" wrapText="1"/>
    </xf>
    <xf numFmtId="165" fontId="77" fillId="0" borderId="10" xfId="0" applyNumberFormat="1" applyFont="1" applyBorder="1" applyAlignment="1">
      <alignment horizontal="center" vertical="center" wrapText="1"/>
    </xf>
    <xf numFmtId="174" fontId="73" fillId="0" borderId="10" xfId="0" applyNumberFormat="1" applyFont="1" applyBorder="1" applyAlignment="1">
      <alignment horizontal="center" vertical="center" wrapText="1"/>
    </xf>
    <xf numFmtId="4" fontId="44" fillId="36" borderId="10" xfId="0" applyNumberFormat="1" applyFont="1" applyFill="1" applyBorder="1" applyAlignment="1">
      <alignment horizontal="center" vertical="center"/>
    </xf>
    <xf numFmtId="3" fontId="44" fillId="36" borderId="10" xfId="0" applyNumberFormat="1" applyFont="1" applyFill="1" applyBorder="1" applyAlignment="1">
      <alignment horizontal="center" vertical="center"/>
    </xf>
    <xf numFmtId="0" fontId="72" fillId="50" borderId="10" xfId="0" applyFont="1" applyFill="1" applyBorder="1" applyAlignment="1">
      <alignment horizontal="center" vertical="center"/>
    </xf>
    <xf numFmtId="0" fontId="145" fillId="0" borderId="32" xfId="42" applyFont="1" applyBorder="1" applyAlignment="1">
      <alignment horizontal="left" vertical="center" wrapText="1"/>
    </xf>
    <xf numFmtId="0" fontId="140" fillId="0" borderId="10" xfId="42" applyFont="1" applyBorder="1" applyAlignment="1">
      <alignment horizontal="center" vertical="center" wrapText="1"/>
    </xf>
    <xf numFmtId="3" fontId="145" fillId="41" borderId="32" xfId="42" applyNumberFormat="1" applyFont="1" applyFill="1" applyBorder="1" applyAlignment="1">
      <alignment horizontal="center" vertical="center" wrapText="1"/>
    </xf>
    <xf numFmtId="3" fontId="140" fillId="50" borderId="51" xfId="0" applyNumberFormat="1" applyFont="1" applyFill="1" applyBorder="1" applyAlignment="1">
      <alignment horizontal="center" vertical="center" wrapText="1"/>
    </xf>
    <xf numFmtId="167" fontId="140" fillId="50" borderId="17" xfId="0" applyNumberFormat="1" applyFont="1" applyFill="1" applyBorder="1" applyAlignment="1">
      <alignment horizontal="center" vertical="center" wrapText="1"/>
    </xf>
    <xf numFmtId="4" fontId="140" fillId="50" borderId="33" xfId="0" applyNumberFormat="1" applyFont="1" applyFill="1" applyBorder="1" applyAlignment="1">
      <alignment horizontal="center" vertical="center" wrapText="1"/>
    </xf>
    <xf numFmtId="168" fontId="146" fillId="0" borderId="0" xfId="0" applyNumberFormat="1" applyFont="1"/>
    <xf numFmtId="0" fontId="146" fillId="0" borderId="0" xfId="0" applyFont="1"/>
    <xf numFmtId="0" fontId="145" fillId="0" borderId="10" xfId="42" applyFont="1" applyBorder="1" applyAlignment="1">
      <alignment horizontal="left" vertical="center" wrapText="1"/>
    </xf>
    <xf numFmtId="3" fontId="145" fillId="50" borderId="32" xfId="42" applyNumberFormat="1" applyFont="1" applyFill="1" applyBorder="1" applyAlignment="1">
      <alignment horizontal="center" vertical="center" wrapText="1"/>
    </xf>
    <xf numFmtId="168" fontId="145" fillId="50" borderId="10" xfId="42" applyNumberFormat="1" applyFont="1" applyFill="1" applyBorder="1" applyAlignment="1">
      <alignment horizontal="center" vertical="center" wrapText="1"/>
    </xf>
    <xf numFmtId="4" fontId="145" fillId="50" borderId="33" xfId="42" applyNumberFormat="1" applyFont="1" applyFill="1" applyBorder="1" applyAlignment="1">
      <alignment horizontal="center" vertical="center" wrapText="1"/>
    </xf>
    <xf numFmtId="167" fontId="56" fillId="41" borderId="32" xfId="42" applyNumberFormat="1" applyFont="1" applyFill="1" applyBorder="1" applyAlignment="1">
      <alignment horizontal="center" vertical="center" wrapText="1"/>
    </xf>
    <xf numFmtId="167" fontId="56" fillId="41" borderId="34" xfId="42" applyNumberFormat="1" applyFont="1" applyFill="1" applyBorder="1" applyAlignment="1">
      <alignment horizontal="center" vertical="center" wrapText="1"/>
    </xf>
    <xf numFmtId="0" fontId="45" fillId="34" borderId="0" xfId="0" applyFont="1" applyFill="1"/>
    <xf numFmtId="165" fontId="140" fillId="50" borderId="33" xfId="0" applyNumberFormat="1" applyFont="1" applyFill="1" applyBorder="1" applyAlignment="1">
      <alignment horizontal="center" vertical="center" wrapText="1"/>
    </xf>
    <xf numFmtId="165" fontId="62" fillId="50" borderId="33" xfId="0" applyNumberFormat="1" applyFont="1" applyFill="1" applyBorder="1" applyAlignment="1">
      <alignment horizontal="center" vertical="center" wrapText="1"/>
    </xf>
    <xf numFmtId="165" fontId="56" fillId="50" borderId="33" xfId="42" applyNumberFormat="1" applyFont="1" applyFill="1" applyBorder="1" applyAlignment="1">
      <alignment horizontal="center" vertical="center" wrapText="1"/>
    </xf>
    <xf numFmtId="165" fontId="56" fillId="50" borderId="36" xfId="42" applyNumberFormat="1" applyFont="1" applyFill="1" applyBorder="1" applyAlignment="1">
      <alignment horizontal="center" vertical="center" wrapText="1"/>
    </xf>
    <xf numFmtId="165" fontId="56" fillId="36" borderId="33" xfId="42" applyNumberFormat="1" applyFont="1" applyFill="1" applyBorder="1" applyAlignment="1">
      <alignment horizontal="center" vertical="center" wrapText="1"/>
    </xf>
    <xf numFmtId="3" fontId="140" fillId="50" borderId="17" xfId="0" applyNumberFormat="1" applyFont="1" applyFill="1" applyBorder="1" applyAlignment="1">
      <alignment horizontal="center" vertical="center" wrapText="1"/>
    </xf>
    <xf numFmtId="3" fontId="65" fillId="0" borderId="10" xfId="0" applyNumberFormat="1" applyFont="1" applyBorder="1" applyAlignment="1">
      <alignment horizontal="center" vertical="center" wrapText="1"/>
    </xf>
    <xf numFmtId="0" fontId="9" fillId="0" borderId="0" xfId="67"/>
    <xf numFmtId="0" fontId="9" fillId="0" borderId="0" xfId="67" applyAlignment="1">
      <alignment wrapText="1"/>
    </xf>
    <xf numFmtId="0" fontId="9" fillId="34" borderId="0" xfId="67" applyFill="1" applyAlignment="1">
      <alignment wrapText="1"/>
    </xf>
    <xf numFmtId="0" fontId="84" fillId="0" borderId="0" xfId="67" applyFont="1" applyAlignment="1">
      <alignment wrapText="1"/>
    </xf>
    <xf numFmtId="4" fontId="54" fillId="0" borderId="10" xfId="67" applyNumberFormat="1" applyFont="1" applyBorder="1" applyAlignment="1">
      <alignment vertical="center"/>
    </xf>
    <xf numFmtId="0" fontId="84" fillId="0" borderId="10" xfId="67" applyFont="1" applyBorder="1" applyAlignment="1">
      <alignment horizontal="center" vertical="center" wrapText="1"/>
    </xf>
    <xf numFmtId="4" fontId="67" fillId="0" borderId="10" xfId="67" applyNumberFormat="1" applyFont="1" applyBorder="1" applyAlignment="1">
      <alignment vertical="center"/>
    </xf>
    <xf numFmtId="166" fontId="147" fillId="0" borderId="0" xfId="67" applyNumberFormat="1" applyFont="1" applyAlignment="1">
      <alignment horizontal="center" vertical="center"/>
    </xf>
    <xf numFmtId="166" fontId="148" fillId="0" borderId="0" xfId="67" applyNumberFormat="1" applyFont="1" applyAlignment="1">
      <alignment horizontal="center" vertical="center"/>
    </xf>
    <xf numFmtId="166" fontId="149" fillId="0" borderId="0" xfId="67" applyNumberFormat="1" applyFont="1" applyAlignment="1">
      <alignment horizontal="center" vertical="center" wrapText="1"/>
    </xf>
    <xf numFmtId="166" fontId="152" fillId="0" borderId="0" xfId="67" applyNumberFormat="1" applyFont="1" applyAlignment="1">
      <alignment horizontal="center" vertical="center"/>
    </xf>
    <xf numFmtId="166" fontId="153" fillId="0" borderId="0" xfId="67" applyNumberFormat="1" applyFont="1" applyAlignment="1">
      <alignment horizontal="center" vertical="center"/>
    </xf>
    <xf numFmtId="166" fontId="154" fillId="0" borderId="0" xfId="67" applyNumberFormat="1" applyFont="1" applyAlignment="1">
      <alignment horizontal="center" vertical="center"/>
    </xf>
    <xf numFmtId="0" fontId="84" fillId="0" borderId="10" xfId="67" applyFont="1" applyBorder="1" applyAlignment="1">
      <alignment vertical="center" wrapText="1"/>
    </xf>
    <xf numFmtId="0" fontId="95" fillId="0" borderId="10" xfId="67" applyFont="1" applyBorder="1" applyAlignment="1">
      <alignment horizontal="center" vertical="center" wrapText="1"/>
    </xf>
    <xf numFmtId="0" fontId="95" fillId="0" borderId="10" xfId="67" applyFont="1" applyBorder="1" applyAlignment="1">
      <alignment vertical="center" wrapText="1"/>
    </xf>
    <xf numFmtId="0" fontId="155" fillId="0" borderId="10" xfId="67" applyFont="1" applyBorder="1" applyAlignment="1">
      <alignment vertical="center" wrapText="1"/>
    </xf>
    <xf numFmtId="166" fontId="151" fillId="0" borderId="0" xfId="67" applyNumberFormat="1" applyFont="1" applyAlignment="1">
      <alignment horizontal="center" vertical="center"/>
    </xf>
    <xf numFmtId="166" fontId="150" fillId="0" borderId="0" xfId="67" applyNumberFormat="1" applyFont="1" applyAlignment="1">
      <alignment horizontal="center" vertical="center" wrapText="1"/>
    </xf>
    <xf numFmtId="0" fontId="156" fillId="0" borderId="10" xfId="67" applyFont="1" applyBorder="1" applyAlignment="1">
      <alignment vertical="center" wrapText="1"/>
    </xf>
    <xf numFmtId="2" fontId="48" fillId="0" borderId="10" xfId="67" applyNumberFormat="1" applyFont="1" applyBorder="1" applyAlignment="1">
      <alignment vertical="center" wrapText="1"/>
    </xf>
    <xf numFmtId="166" fontId="9" fillId="0" borderId="0" xfId="67" applyNumberFormat="1"/>
    <xf numFmtId="0" fontId="158" fillId="0" borderId="0" xfId="67" applyFont="1" applyAlignment="1">
      <alignment horizontal="center" vertical="center" wrapText="1"/>
    </xf>
    <xf numFmtId="165" fontId="159" fillId="0" borderId="0" xfId="67" applyNumberFormat="1" applyFont="1" applyAlignment="1">
      <alignment horizontal="center" vertical="center"/>
    </xf>
    <xf numFmtId="0" fontId="126" fillId="0" borderId="0" xfId="67" applyFont="1" applyAlignment="1">
      <alignment horizontal="center"/>
    </xf>
    <xf numFmtId="0" fontId="126" fillId="0" borderId="0" xfId="67" applyFont="1" applyAlignment="1">
      <alignment horizontal="center" vertical="center"/>
    </xf>
    <xf numFmtId="0" fontId="43" fillId="0" borderId="10" xfId="67" applyFont="1" applyBorder="1" applyAlignment="1">
      <alignment horizontal="center" vertical="center" wrapText="1"/>
    </xf>
    <xf numFmtId="165" fontId="61" fillId="0" borderId="10" xfId="67" applyNumberFormat="1" applyFont="1" applyBorder="1" applyAlignment="1">
      <alignment horizontal="center" vertical="center" wrapText="1"/>
    </xf>
    <xf numFmtId="174" fontId="9" fillId="0" borderId="0" xfId="67" applyNumberFormat="1"/>
    <xf numFmtId="4" fontId="61" fillId="0" borderId="10" xfId="67" applyNumberFormat="1" applyFont="1" applyBorder="1" applyAlignment="1">
      <alignment horizontal="center" vertical="center" wrapText="1"/>
    </xf>
    <xf numFmtId="165" fontId="61" fillId="0" borderId="10" xfId="67" applyNumberFormat="1" applyFont="1" applyBorder="1" applyAlignment="1">
      <alignment horizontal="right" vertical="center" wrapText="1"/>
    </xf>
    <xf numFmtId="0" fontId="85" fillId="0" borderId="10" xfId="67" applyFont="1" applyBorder="1" applyAlignment="1">
      <alignment vertical="center" wrapText="1"/>
    </xf>
    <xf numFmtId="167" fontId="9" fillId="0" borderId="0" xfId="67" applyNumberFormat="1"/>
    <xf numFmtId="170" fontId="9" fillId="0" borderId="0" xfId="67" applyNumberFormat="1"/>
    <xf numFmtId="0" fontId="61" fillId="0" borderId="10" xfId="67" applyFont="1" applyBorder="1" applyAlignment="1">
      <alignment horizontal="center" vertical="center" wrapText="1"/>
    </xf>
    <xf numFmtId="0" fontId="67" fillId="0" borderId="0" xfId="67" applyFont="1"/>
    <xf numFmtId="165" fontId="67" fillId="0" borderId="0" xfId="67" applyNumberFormat="1" applyFont="1"/>
    <xf numFmtId="165" fontId="9" fillId="0" borderId="0" xfId="67" applyNumberFormat="1"/>
    <xf numFmtId="0" fontId="94" fillId="0" borderId="10" xfId="67" applyFont="1" applyBorder="1" applyAlignment="1">
      <alignment horizontal="center" vertical="center" wrapText="1"/>
    </xf>
    <xf numFmtId="0" fontId="9" fillId="0" borderId="0" xfId="67" applyAlignment="1">
      <alignment vertical="top" wrapText="1"/>
    </xf>
    <xf numFmtId="4" fontId="67" fillId="34" borderId="10" xfId="67" applyNumberFormat="1" applyFont="1" applyFill="1" applyBorder="1" applyAlignment="1">
      <alignment vertical="center"/>
    </xf>
    <xf numFmtId="0" fontId="9" fillId="34" borderId="0" xfId="67" applyFill="1"/>
    <xf numFmtId="4" fontId="54" fillId="34" borderId="10" xfId="67" applyNumberFormat="1" applyFont="1" applyFill="1" applyBorder="1" applyAlignment="1">
      <alignment vertical="center"/>
    </xf>
    <xf numFmtId="0" fontId="112" fillId="50" borderId="17" xfId="42" applyFont="1" applyFill="1" applyBorder="1" applyAlignment="1">
      <alignment horizontal="center" vertical="center" wrapText="1"/>
    </xf>
    <xf numFmtId="0" fontId="64" fillId="49" borderId="15" xfId="0" applyFont="1" applyFill="1" applyBorder="1" applyAlignment="1">
      <alignment horizontal="center" vertical="center" wrapText="1"/>
    </xf>
    <xf numFmtId="0" fontId="112" fillId="0" borderId="17" xfId="42" applyFont="1" applyBorder="1" applyAlignment="1">
      <alignment horizontal="center" vertical="center" wrapText="1"/>
    </xf>
    <xf numFmtId="0" fontId="162" fillId="33" borderId="10" xfId="0" applyFont="1" applyFill="1" applyBorder="1" applyAlignment="1">
      <alignment horizontal="center" vertical="center" wrapText="1"/>
    </xf>
    <xf numFmtId="0" fontId="163" fillId="33" borderId="10" xfId="0" applyFont="1" applyFill="1" applyBorder="1" applyAlignment="1">
      <alignment horizontal="center" vertical="center" wrapText="1"/>
    </xf>
    <xf numFmtId="172" fontId="163" fillId="33" borderId="10" xfId="0" applyNumberFormat="1" applyFont="1" applyFill="1" applyBorder="1" applyAlignment="1">
      <alignment horizontal="right" vertical="center" wrapText="1"/>
    </xf>
    <xf numFmtId="177" fontId="163" fillId="33" borderId="10" xfId="0" applyNumberFormat="1" applyFont="1" applyFill="1" applyBorder="1" applyAlignment="1">
      <alignment horizontal="right" vertical="center" wrapText="1"/>
    </xf>
    <xf numFmtId="176" fontId="162" fillId="33" borderId="10" xfId="0" applyNumberFormat="1" applyFont="1" applyFill="1" applyBorder="1" applyAlignment="1">
      <alignment horizontal="right" vertical="center" wrapText="1"/>
    </xf>
    <xf numFmtId="176" fontId="163" fillId="33" borderId="10" xfId="0" applyNumberFormat="1" applyFont="1" applyFill="1" applyBorder="1" applyAlignment="1">
      <alignment horizontal="right" vertical="center" wrapText="1"/>
    </xf>
    <xf numFmtId="0" fontId="44" fillId="40" borderId="10" xfId="0" applyFont="1" applyFill="1" applyBorder="1" applyAlignment="1">
      <alignment horizontal="center" vertical="center"/>
    </xf>
    <xf numFmtId="173" fontId="46" fillId="0" borderId="10" xfId="0" applyNumberFormat="1" applyFont="1" applyBorder="1" applyAlignment="1">
      <alignment horizontal="center" vertical="center"/>
    </xf>
    <xf numFmtId="173" fontId="44" fillId="0" borderId="10" xfId="0" applyNumberFormat="1" applyFont="1" applyBorder="1" applyAlignment="1">
      <alignment horizontal="center" vertical="center"/>
    </xf>
    <xf numFmtId="3" fontId="73" fillId="50" borderId="10" xfId="0" applyNumberFormat="1" applyFont="1" applyFill="1" applyBorder="1" applyAlignment="1">
      <alignment horizontal="center" vertical="center" wrapText="1"/>
    </xf>
    <xf numFmtId="0" fontId="105" fillId="36" borderId="0" xfId="55" applyFont="1" applyFill="1" applyAlignment="1">
      <alignment horizontal="center"/>
    </xf>
    <xf numFmtId="0" fontId="81" fillId="36" borderId="0" xfId="55" applyFont="1" applyFill="1"/>
    <xf numFmtId="0" fontId="114" fillId="36" borderId="10" xfId="55" applyFont="1" applyFill="1" applyBorder="1"/>
    <xf numFmtId="183" fontId="114" fillId="36" borderId="10" xfId="55" applyNumberFormat="1" applyFont="1" applyFill="1" applyBorder="1"/>
    <xf numFmtId="0" fontId="83" fillId="36" borderId="10" xfId="55" applyFont="1" applyFill="1" applyBorder="1" applyAlignment="1">
      <alignment vertical="center"/>
    </xf>
    <xf numFmtId="3" fontId="114" fillId="36" borderId="10" xfId="55" applyNumberFormat="1" applyFont="1" applyFill="1" applyBorder="1"/>
    <xf numFmtId="0" fontId="114" fillId="36" borderId="0" xfId="55" applyFont="1" applyFill="1"/>
    <xf numFmtId="172" fontId="114" fillId="36" borderId="0" xfId="55" applyNumberFormat="1" applyFont="1" applyFill="1"/>
    <xf numFmtId="183" fontId="114" fillId="36" borderId="0" xfId="55" applyNumberFormat="1" applyFont="1" applyFill="1"/>
    <xf numFmtId="0" fontId="83" fillId="36" borderId="16" xfId="55" applyFont="1" applyFill="1" applyBorder="1" applyAlignment="1">
      <alignment vertical="center"/>
    </xf>
    <xf numFmtId="174" fontId="55" fillId="39" borderId="13" xfId="0" applyNumberFormat="1" applyFont="1" applyFill="1" applyBorder="1" applyAlignment="1">
      <alignment horizontal="center" vertical="center"/>
    </xf>
    <xf numFmtId="0" fontId="105" fillId="47" borderId="0" xfId="55" applyFont="1" applyFill="1" applyAlignment="1">
      <alignment horizontal="center"/>
    </xf>
    <xf numFmtId="0" fontId="105" fillId="45" borderId="0" xfId="55" applyFont="1" applyFill="1" applyAlignment="1">
      <alignment horizontal="center"/>
    </xf>
    <xf numFmtId="0" fontId="105" fillId="35" borderId="0" xfId="55" applyFont="1" applyFill="1" applyAlignment="1">
      <alignment horizontal="center"/>
    </xf>
    <xf numFmtId="0" fontId="81" fillId="47" borderId="0" xfId="55" applyFont="1" applyFill="1"/>
    <xf numFmtId="0" fontId="81" fillId="45" borderId="0" xfId="55" applyFont="1" applyFill="1"/>
    <xf numFmtId="0" fontId="81" fillId="35" borderId="0" xfId="55" applyFont="1" applyFill="1"/>
    <xf numFmtId="0" fontId="105" fillId="0" borderId="10" xfId="55" applyFont="1" applyBorder="1" applyAlignment="1">
      <alignment horizontal="center" vertical="center" wrapText="1"/>
    </xf>
    <xf numFmtId="0" fontId="105" fillId="0" borderId="33" xfId="55" applyFont="1" applyBorder="1" applyAlignment="1">
      <alignment horizontal="center" vertical="center" wrapText="1"/>
    </xf>
    <xf numFmtId="10" fontId="114" fillId="39" borderId="10" xfId="59" applyNumberFormat="1" applyFont="1" applyFill="1" applyBorder="1" applyAlignment="1">
      <alignment horizontal="center" vertical="center" wrapText="1"/>
    </xf>
    <xf numFmtId="0" fontId="165" fillId="39" borderId="0" xfId="55" applyFont="1" applyFill="1"/>
    <xf numFmtId="10" fontId="114" fillId="0" borderId="10" xfId="59" applyNumberFormat="1" applyFont="1" applyFill="1" applyBorder="1" applyAlignment="1">
      <alignment horizontal="center" vertical="center" wrapText="1"/>
    </xf>
    <xf numFmtId="182" fontId="114" fillId="0" borderId="10" xfId="59" applyNumberFormat="1" applyFont="1" applyFill="1" applyBorder="1" applyAlignment="1">
      <alignment horizontal="center" vertical="center" wrapText="1"/>
    </xf>
    <xf numFmtId="0" fontId="165" fillId="0" borderId="0" xfId="55" applyFont="1"/>
    <xf numFmtId="10" fontId="114" fillId="40" borderId="10" xfId="59" applyNumberFormat="1" applyFont="1" applyFill="1" applyBorder="1" applyAlignment="1">
      <alignment horizontal="center" vertical="center" wrapText="1"/>
    </xf>
    <xf numFmtId="182" fontId="114" fillId="40" borderId="10" xfId="59" applyNumberFormat="1" applyFont="1" applyFill="1" applyBorder="1" applyAlignment="1">
      <alignment horizontal="center" vertical="center" wrapText="1"/>
    </xf>
    <xf numFmtId="0" fontId="165" fillId="40" borderId="0" xfId="55" applyFont="1" applyFill="1"/>
    <xf numFmtId="10" fontId="114" fillId="62" borderId="10" xfId="59" applyNumberFormat="1" applyFont="1" applyFill="1" applyBorder="1" applyAlignment="1">
      <alignment horizontal="center" vertical="center" wrapText="1"/>
    </xf>
    <xf numFmtId="182" fontId="114" fillId="62" borderId="10" xfId="59" applyNumberFormat="1" applyFont="1" applyFill="1" applyBorder="1" applyAlignment="1">
      <alignment horizontal="center" vertical="center" wrapText="1"/>
    </xf>
    <xf numFmtId="0" fontId="165" fillId="62" borderId="0" xfId="55" applyFont="1" applyFill="1"/>
    <xf numFmtId="4" fontId="81" fillId="47" borderId="0" xfId="55" applyNumberFormat="1" applyFont="1" applyFill="1"/>
    <xf numFmtId="4" fontId="81" fillId="45" borderId="0" xfId="55" applyNumberFormat="1" applyFont="1" applyFill="1"/>
    <xf numFmtId="4" fontId="81" fillId="35" borderId="0" xfId="55" applyNumberFormat="1" applyFont="1" applyFill="1"/>
    <xf numFmtId="187" fontId="81" fillId="35" borderId="0" xfId="55" applyNumberFormat="1" applyFont="1" applyFill="1"/>
    <xf numFmtId="0" fontId="114" fillId="45" borderId="0" xfId="55" applyFont="1" applyFill="1"/>
    <xf numFmtId="0" fontId="114" fillId="35" borderId="0" xfId="55" applyFont="1" applyFill="1"/>
    <xf numFmtId="0" fontId="165" fillId="47" borderId="0" xfId="55" applyFont="1" applyFill="1"/>
    <xf numFmtId="0" fontId="165" fillId="45" borderId="0" xfId="55" applyFont="1" applyFill="1"/>
    <xf numFmtId="0" fontId="165" fillId="35" borderId="0" xfId="55" applyFont="1" applyFill="1"/>
    <xf numFmtId="9" fontId="114" fillId="0" borderId="10" xfId="59" applyFont="1" applyFill="1" applyBorder="1"/>
    <xf numFmtId="172" fontId="114" fillId="45" borderId="0" xfId="55" applyNumberFormat="1" applyFont="1" applyFill="1"/>
    <xf numFmtId="172" fontId="114" fillId="35" borderId="0" xfId="55" applyNumberFormat="1" applyFont="1" applyFill="1"/>
    <xf numFmtId="4" fontId="166" fillId="0" borderId="0" xfId="55" applyNumberFormat="1" applyFont="1"/>
    <xf numFmtId="4" fontId="166" fillId="45" borderId="0" xfId="55" applyNumberFormat="1" applyFont="1" applyFill="1"/>
    <xf numFmtId="4" fontId="166" fillId="35" borderId="0" xfId="55" applyNumberFormat="1" applyFont="1" applyFill="1"/>
    <xf numFmtId="191" fontId="167" fillId="0" borderId="0" xfId="66" applyNumberFormat="1" applyFont="1" applyFill="1"/>
    <xf numFmtId="183" fontId="114" fillId="45" borderId="0" xfId="55" applyNumberFormat="1" applyFont="1" applyFill="1"/>
    <xf numFmtId="183" fontId="114" fillId="35" borderId="0" xfId="55" applyNumberFormat="1" applyFont="1" applyFill="1"/>
    <xf numFmtId="0" fontId="83" fillId="47" borderId="16" xfId="55" applyFont="1" applyFill="1" applyBorder="1" applyAlignment="1">
      <alignment vertical="center"/>
    </xf>
    <xf numFmtId="0" fontId="83" fillId="45" borderId="16" xfId="55" applyFont="1" applyFill="1" applyBorder="1" applyAlignment="1">
      <alignment vertical="center"/>
    </xf>
    <xf numFmtId="0" fontId="83" fillId="35" borderId="16" xfId="55" applyFont="1" applyFill="1" applyBorder="1" applyAlignment="1">
      <alignment vertical="center"/>
    </xf>
    <xf numFmtId="0" fontId="165" fillId="0" borderId="10" xfId="55" applyFont="1" applyBorder="1"/>
    <xf numFmtId="0" fontId="83" fillId="0" borderId="10" xfId="55" applyFont="1" applyBorder="1" applyAlignment="1">
      <alignment horizontal="center" vertical="center" wrapText="1"/>
    </xf>
    <xf numFmtId="0" fontId="83" fillId="0" borderId="10" xfId="55" applyFont="1" applyBorder="1" applyAlignment="1">
      <alignment horizontal="center" vertical="center"/>
    </xf>
    <xf numFmtId="0" fontId="83" fillId="47" borderId="10" xfId="55" applyFont="1" applyFill="1" applyBorder="1" applyAlignment="1">
      <alignment horizontal="center" vertical="center"/>
    </xf>
    <xf numFmtId="0" fontId="83" fillId="45" borderId="10" xfId="55" applyFont="1" applyFill="1" applyBorder="1" applyAlignment="1">
      <alignment horizontal="center" vertical="center"/>
    </xf>
    <xf numFmtId="0" fontId="83" fillId="35" borderId="10" xfId="55" applyFont="1" applyFill="1" applyBorder="1" applyAlignment="1">
      <alignment horizontal="center" vertical="center"/>
    </xf>
    <xf numFmtId="0" fontId="83" fillId="0" borderId="15" xfId="55" applyFont="1" applyBorder="1" applyAlignment="1">
      <alignment horizontal="center" vertical="center" wrapText="1"/>
    </xf>
    <xf numFmtId="182" fontId="83" fillId="0" borderId="10" xfId="59" applyNumberFormat="1" applyFont="1" applyFill="1" applyBorder="1" applyAlignment="1">
      <alignment horizontal="center" vertical="center"/>
    </xf>
    <xf numFmtId="174" fontId="83" fillId="0" borderId="10" xfId="55" applyNumberFormat="1" applyFont="1" applyBorder="1" applyAlignment="1">
      <alignment horizontal="center" vertical="center"/>
    </xf>
    <xf numFmtId="182" fontId="83" fillId="0" borderId="10" xfId="55" applyNumberFormat="1" applyFont="1" applyBorder="1" applyAlignment="1">
      <alignment horizontal="center" vertical="center"/>
    </xf>
    <xf numFmtId="182" fontId="83" fillId="47" borderId="10" xfId="55" applyNumberFormat="1" applyFont="1" applyFill="1" applyBorder="1" applyAlignment="1">
      <alignment horizontal="center" vertical="center"/>
    </xf>
    <xf numFmtId="182" fontId="83" fillId="45" borderId="10" xfId="55" applyNumberFormat="1" applyFont="1" applyFill="1" applyBorder="1" applyAlignment="1">
      <alignment horizontal="center" vertical="center"/>
    </xf>
    <xf numFmtId="182" fontId="83" fillId="35" borderId="10" xfId="55" applyNumberFormat="1" applyFont="1" applyFill="1" applyBorder="1" applyAlignment="1">
      <alignment horizontal="center" vertical="center"/>
    </xf>
    <xf numFmtId="182" fontId="83" fillId="0" borderId="15" xfId="55" applyNumberFormat="1" applyFont="1" applyBorder="1" applyAlignment="1">
      <alignment horizontal="center" vertical="center"/>
    </xf>
    <xf numFmtId="182" fontId="166" fillId="0" borderId="10" xfId="55" applyNumberFormat="1" applyFont="1" applyBorder="1"/>
    <xf numFmtId="165" fontId="105" fillId="0" borderId="0" xfId="55" applyNumberFormat="1" applyFont="1" applyAlignment="1">
      <alignment horizontal="center" vertical="center"/>
    </xf>
    <xf numFmtId="165" fontId="105" fillId="45" borderId="0" xfId="55" applyNumberFormat="1" applyFont="1" applyFill="1" applyAlignment="1">
      <alignment horizontal="center" vertical="center"/>
    </xf>
    <xf numFmtId="0" fontId="169" fillId="0" borderId="0" xfId="55" applyFont="1"/>
    <xf numFmtId="192" fontId="166" fillId="0" borderId="0" xfId="66" applyNumberFormat="1" applyFont="1" applyFill="1"/>
    <xf numFmtId="192" fontId="170" fillId="45" borderId="0" xfId="66" applyNumberFormat="1" applyFont="1" applyFill="1"/>
    <xf numFmtId="0" fontId="166" fillId="0" borderId="0" xfId="55" applyFont="1"/>
    <xf numFmtId="0" fontId="166" fillId="45" borderId="0" xfId="55" applyFont="1" applyFill="1"/>
    <xf numFmtId="0" fontId="166" fillId="35" borderId="0" xfId="55" applyFont="1" applyFill="1"/>
    <xf numFmtId="0" fontId="110" fillId="0" borderId="10" xfId="55" applyFont="1" applyBorder="1" applyAlignment="1">
      <alignment horizontal="center" vertical="center"/>
    </xf>
    <xf numFmtId="0" fontId="45" fillId="0" borderId="0" xfId="55" applyFont="1"/>
    <xf numFmtId="0" fontId="110" fillId="0" borderId="10" xfId="55" applyFont="1" applyBorder="1" applyAlignment="1">
      <alignment horizontal="left" vertical="center" wrapText="1"/>
    </xf>
    <xf numFmtId="165" fontId="110" fillId="0" borderId="10" xfId="55" applyNumberFormat="1" applyFont="1" applyBorder="1" applyAlignment="1">
      <alignment horizontal="center" vertical="center"/>
    </xf>
    <xf numFmtId="182" fontId="110" fillId="38" borderId="10" xfId="59" applyNumberFormat="1" applyFont="1" applyFill="1" applyBorder="1" applyAlignment="1">
      <alignment horizontal="center" vertical="center"/>
    </xf>
    <xf numFmtId="10" fontId="166" fillId="0" borderId="0" xfId="59" applyNumberFormat="1" applyFont="1" applyFill="1"/>
    <xf numFmtId="0" fontId="105" fillId="0" borderId="10" xfId="55" applyFont="1" applyBorder="1" applyAlignment="1">
      <alignment horizontal="left" vertical="center" wrapText="1"/>
    </xf>
    <xf numFmtId="165" fontId="105" fillId="0" borderId="10" xfId="55" applyNumberFormat="1" applyFont="1" applyBorder="1" applyAlignment="1">
      <alignment horizontal="center" vertical="center"/>
    </xf>
    <xf numFmtId="165" fontId="105" fillId="38" borderId="10" xfId="55" applyNumberFormat="1" applyFont="1" applyFill="1" applyBorder="1" applyAlignment="1">
      <alignment horizontal="center" vertical="center"/>
    </xf>
    <xf numFmtId="0" fontId="81" fillId="0" borderId="10" xfId="55" applyFont="1" applyBorder="1" applyAlignment="1">
      <alignment horizontal="left" vertical="center" wrapText="1"/>
    </xf>
    <xf numFmtId="165" fontId="81" fillId="0" borderId="10" xfId="55" applyNumberFormat="1" applyFont="1" applyBorder="1" applyAlignment="1">
      <alignment horizontal="center" vertical="center"/>
    </xf>
    <xf numFmtId="165" fontId="81" fillId="38" borderId="10" xfId="55" applyNumberFormat="1" applyFont="1" applyFill="1" applyBorder="1" applyAlignment="1">
      <alignment horizontal="center" vertical="center"/>
    </xf>
    <xf numFmtId="182" fontId="167" fillId="0" borderId="0" xfId="55" applyNumberFormat="1" applyFont="1"/>
    <xf numFmtId="182" fontId="167" fillId="45" borderId="0" xfId="55" applyNumberFormat="1" applyFont="1" applyFill="1"/>
    <xf numFmtId="0" fontId="83" fillId="36" borderId="10" xfId="55" applyFont="1" applyFill="1" applyBorder="1" applyAlignment="1">
      <alignment horizontal="center" vertical="center" wrapText="1"/>
    </xf>
    <xf numFmtId="174" fontId="83" fillId="36" borderId="10" xfId="55" applyNumberFormat="1" applyFont="1" applyFill="1" applyBorder="1" applyAlignment="1">
      <alignment horizontal="center" vertical="center"/>
    </xf>
    <xf numFmtId="0" fontId="165" fillId="36" borderId="0" xfId="55" applyFont="1" applyFill="1"/>
    <xf numFmtId="0" fontId="83" fillId="36" borderId="10" xfId="55" applyFont="1" applyFill="1" applyBorder="1" applyAlignment="1">
      <alignment horizontal="center" vertical="center"/>
    </xf>
    <xf numFmtId="182" fontId="83" fillId="36" borderId="10" xfId="55" applyNumberFormat="1" applyFont="1" applyFill="1" applyBorder="1" applyAlignment="1">
      <alignment horizontal="center" vertical="center"/>
    </xf>
    <xf numFmtId="0" fontId="114" fillId="47" borderId="0" xfId="55" applyFont="1" applyFill="1"/>
    <xf numFmtId="172" fontId="114" fillId="47" borderId="0" xfId="55" applyNumberFormat="1" applyFont="1" applyFill="1"/>
    <xf numFmtId="183" fontId="114" fillId="47" borderId="0" xfId="55" applyNumberFormat="1" applyFont="1" applyFill="1"/>
    <xf numFmtId="165" fontId="105" fillId="47" borderId="0" xfId="55" applyNumberFormat="1" applyFont="1" applyFill="1" applyAlignment="1">
      <alignment horizontal="center" vertical="center"/>
    </xf>
    <xf numFmtId="165" fontId="81" fillId="47" borderId="0" xfId="55" applyNumberFormat="1" applyFont="1" applyFill="1" applyAlignment="1">
      <alignment horizontal="center" vertical="center"/>
    </xf>
    <xf numFmtId="0" fontId="105" fillId="0" borderId="16" xfId="55" applyFont="1" applyBorder="1" applyAlignment="1">
      <alignment horizontal="center" vertical="center" wrapText="1"/>
    </xf>
    <xf numFmtId="0" fontId="105" fillId="36" borderId="13" xfId="55" applyFont="1" applyFill="1" applyBorder="1" applyAlignment="1">
      <alignment horizontal="center" vertical="center" wrapText="1"/>
    </xf>
    <xf numFmtId="0" fontId="105" fillId="36" borderId="17" xfId="55" applyFont="1" applyFill="1" applyBorder="1" applyAlignment="1">
      <alignment horizontal="center" vertical="center" wrapText="1"/>
    </xf>
    <xf numFmtId="165" fontId="105" fillId="36" borderId="0" xfId="55" applyNumberFormat="1" applyFont="1" applyFill="1" applyAlignment="1">
      <alignment horizontal="center" vertical="center"/>
    </xf>
    <xf numFmtId="0" fontId="169" fillId="36" borderId="0" xfId="55" applyFont="1" applyFill="1"/>
    <xf numFmtId="0" fontId="45" fillId="36" borderId="0" xfId="55" applyFont="1" applyFill="1"/>
    <xf numFmtId="165" fontId="81" fillId="36" borderId="0" xfId="55" applyNumberFormat="1" applyFont="1" applyFill="1" applyAlignment="1">
      <alignment horizontal="center" vertical="center"/>
    </xf>
    <xf numFmtId="0" fontId="81" fillId="36" borderId="10" xfId="42" applyFont="1" applyFill="1" applyBorder="1" applyAlignment="1">
      <alignment horizontal="left" vertical="center" wrapText="1"/>
    </xf>
    <xf numFmtId="0" fontId="106" fillId="36" borderId="10" xfId="42" applyFont="1" applyFill="1" applyBorder="1" applyAlignment="1">
      <alignment horizontal="left" vertical="center" wrapText="1"/>
    </xf>
    <xf numFmtId="3" fontId="113" fillId="36" borderId="17" xfId="42" applyNumberFormat="1" applyFont="1" applyFill="1" applyBorder="1" applyAlignment="1">
      <alignment horizontal="center" vertical="center" wrapText="1"/>
    </xf>
    <xf numFmtId="165" fontId="112" fillId="36" borderId="17" xfId="42" applyNumberFormat="1" applyFont="1" applyFill="1" applyBorder="1" applyAlignment="1">
      <alignment horizontal="center" vertical="center" wrapText="1"/>
    </xf>
    <xf numFmtId="4" fontId="113" fillId="36" borderId="17" xfId="42" applyNumberFormat="1" applyFont="1" applyFill="1" applyBorder="1" applyAlignment="1">
      <alignment horizontal="center" vertical="center" wrapText="1"/>
    </xf>
    <xf numFmtId="10" fontId="113" fillId="36" borderId="17" xfId="42" applyNumberFormat="1" applyFont="1" applyFill="1" applyBorder="1" applyAlignment="1">
      <alignment horizontal="center" vertical="center" wrapText="1"/>
    </xf>
    <xf numFmtId="0" fontId="105" fillId="36" borderId="10" xfId="42" applyFont="1" applyFill="1" applyBorder="1" applyAlignment="1">
      <alignment horizontal="left" vertical="center" wrapText="1"/>
    </xf>
    <xf numFmtId="10" fontId="112" fillId="36" borderId="17" xfId="42" applyNumberFormat="1" applyFont="1" applyFill="1" applyBorder="1" applyAlignment="1">
      <alignment horizontal="center" vertical="center" wrapText="1"/>
    </xf>
    <xf numFmtId="0" fontId="107" fillId="36" borderId="10" xfId="42" applyFont="1" applyFill="1" applyBorder="1" applyAlignment="1">
      <alignment horizontal="left" vertical="center" wrapText="1"/>
    </xf>
    <xf numFmtId="3" fontId="112" fillId="36" borderId="17" xfId="42" applyNumberFormat="1" applyFont="1" applyFill="1" applyBorder="1" applyAlignment="1">
      <alignment horizontal="center" vertical="center" wrapText="1"/>
    </xf>
    <xf numFmtId="4" fontId="112" fillId="36" borderId="17" xfId="42" applyNumberFormat="1" applyFont="1" applyFill="1" applyBorder="1" applyAlignment="1">
      <alignment horizontal="center" vertical="center" wrapText="1"/>
    </xf>
    <xf numFmtId="178" fontId="81" fillId="36" borderId="10" xfId="42" applyNumberFormat="1" applyFont="1" applyFill="1" applyBorder="1" applyAlignment="1">
      <alignment horizontal="left" vertical="center" wrapText="1"/>
    </xf>
    <xf numFmtId="178" fontId="106" fillId="36" borderId="10" xfId="42" applyNumberFormat="1" applyFont="1" applyFill="1" applyBorder="1" applyAlignment="1">
      <alignment horizontal="left" vertical="center" wrapText="1"/>
    </xf>
    <xf numFmtId="180" fontId="81" fillId="36" borderId="10" xfId="42" applyNumberFormat="1" applyFont="1" applyFill="1" applyBorder="1" applyAlignment="1">
      <alignment horizontal="left" vertical="center" wrapText="1"/>
    </xf>
    <xf numFmtId="180" fontId="106" fillId="36" borderId="10" xfId="42" applyNumberFormat="1" applyFont="1" applyFill="1" applyBorder="1" applyAlignment="1">
      <alignment horizontal="left" vertical="center" wrapText="1"/>
    </xf>
    <xf numFmtId="0" fontId="105" fillId="36" borderId="13" xfId="55" applyFont="1" applyFill="1" applyBorder="1" applyAlignment="1">
      <alignment horizontal="center" vertical="center"/>
    </xf>
    <xf numFmtId="0" fontId="105" fillId="36" borderId="17" xfId="55" applyFont="1" applyFill="1" applyBorder="1" applyAlignment="1">
      <alignment horizontal="center" vertical="center"/>
    </xf>
    <xf numFmtId="0" fontId="110" fillId="36" borderId="10" xfId="55" applyFont="1" applyFill="1" applyBorder="1" applyAlignment="1">
      <alignment horizontal="center" vertical="center"/>
    </xf>
    <xf numFmtId="182" fontId="110" fillId="36" borderId="10" xfId="59" applyNumberFormat="1" applyFont="1" applyFill="1" applyBorder="1" applyAlignment="1">
      <alignment horizontal="center" vertical="center"/>
    </xf>
    <xf numFmtId="165" fontId="105" fillId="36" borderId="10" xfId="55" applyNumberFormat="1" applyFont="1" applyFill="1" applyBorder="1" applyAlignment="1">
      <alignment horizontal="center" vertical="center"/>
    </xf>
    <xf numFmtId="165" fontId="81" fillId="36" borderId="10" xfId="55" applyNumberFormat="1" applyFont="1" applyFill="1" applyBorder="1" applyAlignment="1">
      <alignment horizontal="center" vertical="center"/>
    </xf>
    <xf numFmtId="3" fontId="81" fillId="0" borderId="34" xfId="75" applyNumberFormat="1" applyFont="1" applyBorder="1" applyAlignment="1">
      <alignment horizontal="center" vertical="center" wrapText="1"/>
    </xf>
    <xf numFmtId="3" fontId="81" fillId="0" borderId="35" xfId="75" applyNumberFormat="1" applyFont="1" applyBorder="1" applyAlignment="1">
      <alignment horizontal="center" vertical="center" wrapText="1"/>
    </xf>
    <xf numFmtId="3" fontId="81" fillId="0" borderId="10" xfId="75" applyNumberFormat="1" applyFont="1" applyBorder="1" applyAlignment="1">
      <alignment horizontal="center" vertical="center" wrapText="1"/>
    </xf>
    <xf numFmtId="3" fontId="81" fillId="47" borderId="10" xfId="75" applyNumberFormat="1" applyFont="1" applyFill="1" applyBorder="1" applyAlignment="1">
      <alignment horizontal="center" vertical="center" wrapText="1"/>
    </xf>
    <xf numFmtId="165" fontId="81" fillId="45" borderId="10" xfId="75" applyNumberFormat="1" applyFont="1" applyFill="1" applyBorder="1" applyAlignment="1">
      <alignment horizontal="center" vertical="center" wrapText="1"/>
    </xf>
    <xf numFmtId="3" fontId="81" fillId="35" borderId="10" xfId="75" applyNumberFormat="1" applyFont="1" applyFill="1" applyBorder="1" applyAlignment="1">
      <alignment horizontal="center" vertical="center" wrapText="1"/>
    </xf>
    <xf numFmtId="3" fontId="81" fillId="47" borderId="35" xfId="75" applyNumberFormat="1" applyFont="1" applyFill="1" applyBorder="1" applyAlignment="1">
      <alignment horizontal="center" vertical="center" wrapText="1"/>
    </xf>
    <xf numFmtId="3" fontId="81" fillId="45" borderId="35" xfId="75" applyNumberFormat="1" applyFont="1" applyFill="1" applyBorder="1" applyAlignment="1">
      <alignment horizontal="center" vertical="center" wrapText="1"/>
    </xf>
    <xf numFmtId="3" fontId="81" fillId="35" borderId="35" xfId="75" applyNumberFormat="1" applyFont="1" applyFill="1" applyBorder="1" applyAlignment="1">
      <alignment horizontal="center" vertical="center" wrapText="1"/>
    </xf>
    <xf numFmtId="3" fontId="81" fillId="0" borderId="36" xfId="75" applyNumberFormat="1" applyFont="1" applyBorder="1" applyAlignment="1">
      <alignment horizontal="center" vertical="center" wrapText="1"/>
    </xf>
    <xf numFmtId="0" fontId="105" fillId="39" borderId="10" xfId="75" applyFont="1" applyFill="1" applyBorder="1" applyAlignment="1">
      <alignment horizontal="left" vertical="center" wrapText="1"/>
    </xf>
    <xf numFmtId="3" fontId="114" fillId="39" borderId="10" xfId="75" applyNumberFormat="1" applyFont="1" applyFill="1" applyBorder="1" applyAlignment="1">
      <alignment horizontal="center" vertical="center" wrapText="1"/>
    </xf>
    <xf numFmtId="165" fontId="114" fillId="39" borderId="10" xfId="75" applyNumberFormat="1" applyFont="1" applyFill="1" applyBorder="1" applyAlignment="1">
      <alignment horizontal="center" vertical="center" wrapText="1"/>
    </xf>
    <xf numFmtId="165" fontId="114" fillId="47" borderId="10" xfId="75" applyNumberFormat="1" applyFont="1" applyFill="1" applyBorder="1" applyAlignment="1">
      <alignment horizontal="center" vertical="center" wrapText="1"/>
    </xf>
    <xf numFmtId="165" fontId="114" fillId="45" borderId="10" xfId="75" applyNumberFormat="1" applyFont="1" applyFill="1" applyBorder="1" applyAlignment="1">
      <alignment horizontal="center" vertical="center" wrapText="1"/>
    </xf>
    <xf numFmtId="165" fontId="114" fillId="35" borderId="10" xfId="75" applyNumberFormat="1" applyFont="1" applyFill="1" applyBorder="1" applyAlignment="1">
      <alignment horizontal="center" vertical="center" wrapText="1"/>
    </xf>
    <xf numFmtId="165" fontId="114" fillId="39" borderId="17" xfId="75" applyNumberFormat="1" applyFont="1" applyFill="1" applyBorder="1" applyAlignment="1">
      <alignment horizontal="center" vertical="center" wrapText="1"/>
    </xf>
    <xf numFmtId="4" fontId="114" fillId="39" borderId="17" xfId="75" applyNumberFormat="1" applyFont="1" applyFill="1" applyBorder="1" applyAlignment="1">
      <alignment horizontal="center" vertical="center" wrapText="1"/>
    </xf>
    <xf numFmtId="4" fontId="114" fillId="47" borderId="17" xfId="75" applyNumberFormat="1" applyFont="1" applyFill="1" applyBorder="1" applyAlignment="1">
      <alignment horizontal="center" vertical="center" wrapText="1"/>
    </xf>
    <xf numFmtId="4" fontId="114" fillId="45" borderId="17" xfId="75" applyNumberFormat="1" applyFont="1" applyFill="1" applyBorder="1" applyAlignment="1">
      <alignment horizontal="center" vertical="center" wrapText="1"/>
    </xf>
    <xf numFmtId="4" fontId="114" fillId="35" borderId="17" xfId="75" applyNumberFormat="1" applyFont="1" applyFill="1" applyBorder="1" applyAlignment="1">
      <alignment horizontal="center" vertical="center" wrapText="1"/>
    </xf>
    <xf numFmtId="3" fontId="114" fillId="0" borderId="17" xfId="75" applyNumberFormat="1" applyFont="1" applyBorder="1" applyAlignment="1">
      <alignment horizontal="center" vertical="center" wrapText="1"/>
    </xf>
    <xf numFmtId="4" fontId="114" fillId="0" borderId="17" xfId="75" applyNumberFormat="1" applyFont="1" applyBorder="1" applyAlignment="1">
      <alignment horizontal="center" vertical="center" wrapText="1"/>
    </xf>
    <xf numFmtId="10" fontId="114" fillId="0" borderId="17" xfId="75" applyNumberFormat="1" applyFont="1" applyBorder="1" applyAlignment="1">
      <alignment horizontal="center" vertical="center" wrapText="1"/>
    </xf>
    <xf numFmtId="0" fontId="105" fillId="0" borderId="10" xfId="75" applyFont="1" applyBorder="1" applyAlignment="1">
      <alignment horizontal="left" vertical="center" wrapText="1"/>
    </xf>
    <xf numFmtId="3" fontId="114" fillId="0" borderId="10" xfId="75" applyNumberFormat="1" applyFont="1" applyBorder="1" applyAlignment="1">
      <alignment horizontal="center" vertical="center" wrapText="1"/>
    </xf>
    <xf numFmtId="165" fontId="114" fillId="0" borderId="10" xfId="75" applyNumberFormat="1" applyFont="1" applyBorder="1" applyAlignment="1">
      <alignment horizontal="center" vertical="center" wrapText="1"/>
    </xf>
    <xf numFmtId="165" fontId="114" fillId="0" borderId="17" xfId="75" applyNumberFormat="1" applyFont="1" applyBorder="1" applyAlignment="1">
      <alignment horizontal="center" vertical="center" wrapText="1"/>
    </xf>
    <xf numFmtId="0" fontId="110" fillId="0" borderId="10" xfId="75" applyFont="1" applyBorder="1" applyAlignment="1">
      <alignment horizontal="left" vertical="center" wrapText="1"/>
    </xf>
    <xf numFmtId="178" fontId="105" fillId="40" borderId="10" xfId="75" applyNumberFormat="1" applyFont="1" applyFill="1" applyBorder="1" applyAlignment="1">
      <alignment horizontal="left" vertical="center" wrapText="1"/>
    </xf>
    <xf numFmtId="3" fontId="114" fillId="40" borderId="10" xfId="75" applyNumberFormat="1" applyFont="1" applyFill="1" applyBorder="1" applyAlignment="1">
      <alignment horizontal="center" vertical="center" wrapText="1"/>
    </xf>
    <xf numFmtId="165" fontId="114" fillId="40" borderId="10" xfId="75" applyNumberFormat="1" applyFont="1" applyFill="1" applyBorder="1" applyAlignment="1">
      <alignment horizontal="center" vertical="center" wrapText="1"/>
    </xf>
    <xf numFmtId="165" fontId="114" fillId="40" borderId="17" xfId="75" applyNumberFormat="1" applyFont="1" applyFill="1" applyBorder="1" applyAlignment="1">
      <alignment horizontal="center" vertical="center" wrapText="1"/>
    </xf>
    <xf numFmtId="4" fontId="114" fillId="40" borderId="17" xfId="75" applyNumberFormat="1" applyFont="1" applyFill="1" applyBorder="1" applyAlignment="1">
      <alignment horizontal="center" vertical="center" wrapText="1"/>
    </xf>
    <xf numFmtId="178" fontId="105" fillId="0" borderId="10" xfId="75" applyNumberFormat="1" applyFont="1" applyBorder="1" applyAlignment="1">
      <alignment horizontal="left" vertical="center" wrapText="1"/>
    </xf>
    <xf numFmtId="173" fontId="114" fillId="0" borderId="10" xfId="75" applyNumberFormat="1" applyFont="1" applyBorder="1" applyAlignment="1">
      <alignment horizontal="center" vertical="center" wrapText="1"/>
    </xf>
    <xf numFmtId="0" fontId="108" fillId="39" borderId="10" xfId="75" applyFont="1" applyFill="1" applyBorder="1" applyAlignment="1">
      <alignment horizontal="left" vertical="center" wrapText="1"/>
    </xf>
    <xf numFmtId="165" fontId="114" fillId="36" borderId="10" xfId="75" applyNumberFormat="1" applyFont="1" applyFill="1" applyBorder="1" applyAlignment="1">
      <alignment horizontal="center" vertical="center" wrapText="1"/>
    </xf>
    <xf numFmtId="4" fontId="114" fillId="36" borderId="17" xfId="75" applyNumberFormat="1" applyFont="1" applyFill="1" applyBorder="1" applyAlignment="1">
      <alignment horizontal="center" vertical="center" wrapText="1"/>
    </xf>
    <xf numFmtId="0" fontId="108" fillId="0" borderId="10" xfId="75" applyFont="1" applyBorder="1" applyAlignment="1">
      <alignment horizontal="left" vertical="center" wrapText="1"/>
    </xf>
    <xf numFmtId="16" fontId="105" fillId="62" borderId="10" xfId="75" applyNumberFormat="1" applyFont="1" applyFill="1" applyBorder="1" applyAlignment="1">
      <alignment horizontal="left" vertical="center" wrapText="1"/>
    </xf>
    <xf numFmtId="0" fontId="108" fillId="62" borderId="10" xfId="75" applyFont="1" applyFill="1" applyBorder="1" applyAlignment="1">
      <alignment horizontal="left" vertical="center" wrapText="1"/>
    </xf>
    <xf numFmtId="3" fontId="114" fillId="62" borderId="10" xfId="75" applyNumberFormat="1" applyFont="1" applyFill="1" applyBorder="1" applyAlignment="1">
      <alignment horizontal="center" vertical="center" wrapText="1"/>
    </xf>
    <xf numFmtId="165" fontId="114" fillId="62" borderId="10" xfId="75" applyNumberFormat="1" applyFont="1" applyFill="1" applyBorder="1" applyAlignment="1">
      <alignment horizontal="center" vertical="center" wrapText="1"/>
    </xf>
    <xf numFmtId="165" fontId="114" fillId="62" borderId="17" xfId="75" applyNumberFormat="1" applyFont="1" applyFill="1" applyBorder="1" applyAlignment="1">
      <alignment horizontal="center" vertical="center" wrapText="1"/>
    </xf>
    <xf numFmtId="4" fontId="114" fillId="62" borderId="17" xfId="75" applyNumberFormat="1" applyFont="1" applyFill="1" applyBorder="1" applyAlignment="1">
      <alignment horizontal="center" vertical="center" wrapText="1"/>
    </xf>
    <xf numFmtId="0" fontId="108" fillId="40" borderId="10" xfId="75" applyFont="1" applyFill="1" applyBorder="1" applyAlignment="1">
      <alignment horizontal="left" vertical="center" wrapText="1"/>
    </xf>
    <xf numFmtId="3" fontId="114" fillId="47" borderId="17" xfId="75" applyNumberFormat="1" applyFont="1" applyFill="1" applyBorder="1" applyAlignment="1">
      <alignment horizontal="center" vertical="center" wrapText="1"/>
    </xf>
    <xf numFmtId="167" fontId="105" fillId="39" borderId="10" xfId="76" applyNumberFormat="1" applyFont="1" applyFill="1" applyBorder="1" applyAlignment="1">
      <alignment horizontal="left" vertical="center" wrapText="1"/>
    </xf>
    <xf numFmtId="4" fontId="81" fillId="39" borderId="10" xfId="76" applyNumberFormat="1" applyFont="1" applyFill="1" applyBorder="1" applyAlignment="1">
      <alignment horizontal="left" vertical="center" wrapText="1"/>
    </xf>
    <xf numFmtId="4" fontId="105" fillId="0" borderId="10" xfId="75" applyNumberFormat="1" applyFont="1" applyBorder="1" applyAlignment="1">
      <alignment horizontal="left" vertical="center"/>
    </xf>
    <xf numFmtId="4" fontId="105" fillId="0" borderId="10" xfId="76" applyNumberFormat="1" applyFont="1" applyFill="1" applyBorder="1" applyAlignment="1">
      <alignment horizontal="center" vertical="center"/>
    </xf>
    <xf numFmtId="3" fontId="114" fillId="0" borderId="10" xfId="76" applyNumberFormat="1" applyFont="1" applyFill="1" applyBorder="1" applyAlignment="1">
      <alignment horizontal="center" vertical="center"/>
    </xf>
    <xf numFmtId="4" fontId="114" fillId="47" borderId="10" xfId="76" applyNumberFormat="1" applyFont="1" applyFill="1" applyBorder="1" applyAlignment="1">
      <alignment horizontal="center" vertical="center"/>
    </xf>
    <xf numFmtId="4" fontId="114" fillId="0" borderId="10" xfId="76" applyNumberFormat="1" applyFont="1" applyFill="1" applyBorder="1" applyAlignment="1">
      <alignment horizontal="center" vertical="center"/>
    </xf>
    <xf numFmtId="4" fontId="114" fillId="45" borderId="10" xfId="76" applyNumberFormat="1" applyFont="1" applyFill="1" applyBorder="1" applyAlignment="1">
      <alignment horizontal="center" vertical="center"/>
    </xf>
    <xf numFmtId="4" fontId="114" fillId="35" borderId="10" xfId="76" applyNumberFormat="1" applyFont="1" applyFill="1" applyBorder="1" applyAlignment="1">
      <alignment horizontal="center" vertical="center"/>
    </xf>
    <xf numFmtId="3" fontId="114" fillId="52" borderId="10" xfId="55" applyNumberFormat="1" applyFont="1" applyFill="1" applyBorder="1"/>
    <xf numFmtId="164" fontId="168" fillId="0" borderId="0" xfId="66" applyFont="1" applyFill="1"/>
    <xf numFmtId="187" fontId="114" fillId="52" borderId="10" xfId="55" applyNumberFormat="1" applyFont="1" applyFill="1" applyBorder="1"/>
    <xf numFmtId="3" fontId="81" fillId="36" borderId="10" xfId="75" applyNumberFormat="1" applyFont="1" applyFill="1" applyBorder="1" applyAlignment="1">
      <alignment horizontal="center" vertical="center" wrapText="1"/>
    </xf>
    <xf numFmtId="3" fontId="114" fillId="36" borderId="10" xfId="75" applyNumberFormat="1" applyFont="1" applyFill="1" applyBorder="1" applyAlignment="1">
      <alignment horizontal="center" vertical="center" wrapText="1"/>
    </xf>
    <xf numFmtId="4" fontId="114" fillId="36" borderId="10" xfId="76" applyNumberFormat="1" applyFont="1" applyFill="1" applyBorder="1" applyAlignment="1">
      <alignment horizontal="center" vertical="center"/>
    </xf>
    <xf numFmtId="165" fontId="81" fillId="36" borderId="10" xfId="75" applyNumberFormat="1" applyFont="1" applyFill="1" applyBorder="1" applyAlignment="1">
      <alignment horizontal="center" vertical="center" wrapText="1"/>
    </xf>
    <xf numFmtId="173" fontId="114" fillId="36" borderId="10" xfId="75" applyNumberFormat="1" applyFont="1" applyFill="1" applyBorder="1" applyAlignment="1">
      <alignment horizontal="center" vertical="center" wrapText="1"/>
    </xf>
    <xf numFmtId="0" fontId="83" fillId="36" borderId="15" xfId="55" applyFont="1" applyFill="1" applyBorder="1" applyAlignment="1">
      <alignment vertical="center"/>
    </xf>
    <xf numFmtId="167" fontId="114" fillId="36" borderId="10" xfId="75" applyNumberFormat="1" applyFont="1" applyFill="1" applyBorder="1" applyAlignment="1">
      <alignment horizontal="center" vertical="center" wrapText="1"/>
    </xf>
    <xf numFmtId="10" fontId="114" fillId="36" borderId="10" xfId="59" applyNumberFormat="1" applyFont="1" applyFill="1" applyBorder="1"/>
    <xf numFmtId="10" fontId="114" fillId="0" borderId="10" xfId="59" applyNumberFormat="1" applyFont="1" applyFill="1" applyBorder="1"/>
    <xf numFmtId="3" fontId="33" fillId="43" borderId="0" xfId="0" applyNumberFormat="1" applyFont="1" applyFill="1" applyAlignment="1" applyProtection="1">
      <alignment wrapText="1"/>
      <protection locked="0"/>
    </xf>
    <xf numFmtId="3" fontId="33" fillId="0" borderId="0" xfId="0" applyNumberFormat="1" applyFont="1" applyAlignment="1" applyProtection="1">
      <alignment wrapText="1"/>
      <protection locked="0"/>
    </xf>
    <xf numFmtId="0" fontId="69" fillId="0" borderId="0" xfId="0" applyFont="1" applyAlignment="1">
      <alignment horizontal="center"/>
    </xf>
    <xf numFmtId="4" fontId="100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50" borderId="10" xfId="0" applyFont="1" applyFill="1" applyBorder="1" applyAlignment="1">
      <alignment horizontal="center" vertical="center"/>
    </xf>
    <xf numFmtId="0" fontId="76" fillId="50" borderId="10" xfId="0" applyFont="1" applyFill="1" applyBorder="1" applyAlignment="1">
      <alignment horizontal="center" vertical="center"/>
    </xf>
    <xf numFmtId="0" fontId="76" fillId="50" borderId="10" xfId="0" applyFont="1" applyFill="1" applyBorder="1" applyAlignment="1">
      <alignment horizontal="center" vertical="center" wrapText="1"/>
    </xf>
    <xf numFmtId="194" fontId="69" fillId="0" borderId="10" xfId="0" applyNumberFormat="1" applyFont="1" applyBorder="1"/>
    <xf numFmtId="194" fontId="69" fillId="0" borderId="0" xfId="0" applyNumberFormat="1" applyFont="1"/>
    <xf numFmtId="182" fontId="56" fillId="50" borderId="10" xfId="0" applyNumberFormat="1" applyFont="1" applyFill="1" applyBorder="1" applyAlignment="1">
      <alignment horizontal="center" vertical="center"/>
    </xf>
    <xf numFmtId="182" fontId="76" fillId="50" borderId="10" xfId="0" applyNumberFormat="1" applyFont="1" applyFill="1" applyBorder="1" applyAlignment="1">
      <alignment horizontal="center" vertical="center"/>
    </xf>
    <xf numFmtId="182" fontId="56" fillId="50" borderId="13" xfId="0" applyNumberFormat="1" applyFont="1" applyFill="1" applyBorder="1" applyAlignment="1">
      <alignment horizontal="center" vertical="center"/>
    </xf>
    <xf numFmtId="182" fontId="76" fillId="50" borderId="13" xfId="0" applyNumberFormat="1" applyFont="1" applyFill="1" applyBorder="1" applyAlignment="1">
      <alignment horizontal="center" vertical="center"/>
    </xf>
    <xf numFmtId="0" fontId="62" fillId="47" borderId="27" xfId="0" applyFont="1" applyFill="1" applyBorder="1" applyAlignment="1">
      <alignment horizontal="center" vertical="center" wrapText="1"/>
    </xf>
    <xf numFmtId="0" fontId="101" fillId="0" borderId="0" xfId="0" applyFont="1"/>
    <xf numFmtId="0" fontId="172" fillId="47" borderId="10" xfId="0" applyFont="1" applyFill="1" applyBorder="1" applyAlignment="1">
      <alignment horizontal="center" vertical="center" wrapText="1"/>
    </xf>
    <xf numFmtId="3" fontId="64" fillId="50" borderId="10" xfId="0" applyNumberFormat="1" applyFont="1" applyFill="1" applyBorder="1" applyAlignment="1">
      <alignment horizontal="center" vertical="center" wrapText="1"/>
    </xf>
    <xf numFmtId="167" fontId="64" fillId="50" borderId="15" xfId="0" applyNumberFormat="1" applyFont="1" applyFill="1" applyBorder="1" applyAlignment="1">
      <alignment vertical="center" wrapText="1"/>
    </xf>
    <xf numFmtId="0" fontId="64" fillId="45" borderId="10" xfId="0" applyFont="1" applyFill="1" applyBorder="1" applyAlignment="1">
      <alignment horizontal="center" vertical="center" wrapText="1"/>
    </xf>
    <xf numFmtId="3" fontId="55" fillId="0" borderId="10" xfId="77" applyNumberFormat="1" applyFont="1" applyBorder="1" applyAlignment="1">
      <alignment horizontal="center" vertical="center" wrapText="1"/>
    </xf>
    <xf numFmtId="3" fontId="173" fillId="45" borderId="0" xfId="0" applyNumberFormat="1" applyFont="1" applyFill="1"/>
    <xf numFmtId="0" fontId="74" fillId="39" borderId="10" xfId="77" applyFont="1" applyFill="1" applyBorder="1" applyAlignment="1">
      <alignment horizontal="left" vertical="center" wrapText="1"/>
    </xf>
    <xf numFmtId="3" fontId="107" fillId="39" borderId="10" xfId="77" applyNumberFormat="1" applyFont="1" applyFill="1" applyBorder="1" applyAlignment="1">
      <alignment horizontal="center" vertical="center" wrapText="1"/>
    </xf>
    <xf numFmtId="167" fontId="107" fillId="39" borderId="10" xfId="77" applyNumberFormat="1" applyFont="1" applyFill="1" applyBorder="1" applyAlignment="1">
      <alignment horizontal="center" vertical="center" wrapText="1"/>
    </xf>
    <xf numFmtId="4" fontId="107" fillId="39" borderId="10" xfId="77" applyNumberFormat="1" applyFont="1" applyFill="1" applyBorder="1" applyAlignment="1">
      <alignment horizontal="center" vertical="center" wrapText="1"/>
    </xf>
    <xf numFmtId="182" fontId="107" fillId="39" borderId="10" xfId="77" applyNumberFormat="1" applyFont="1" applyFill="1" applyBorder="1" applyAlignment="1">
      <alignment horizontal="center" vertical="center" wrapText="1"/>
    </xf>
    <xf numFmtId="4" fontId="107" fillId="51" borderId="10" xfId="77" applyNumberFormat="1" applyFont="1" applyFill="1" applyBorder="1" applyAlignment="1">
      <alignment horizontal="center" vertical="center" wrapText="1"/>
    </xf>
    <xf numFmtId="165" fontId="107" fillId="39" borderId="10" xfId="77" applyNumberFormat="1" applyFont="1" applyFill="1" applyBorder="1" applyAlignment="1">
      <alignment horizontal="center" vertical="center" wrapText="1"/>
    </xf>
    <xf numFmtId="4" fontId="105" fillId="39" borderId="10" xfId="77" applyNumberFormat="1" applyFont="1" applyFill="1" applyBorder="1" applyAlignment="1">
      <alignment horizontal="center" vertical="center" wrapText="1"/>
    </xf>
    <xf numFmtId="4" fontId="107" fillId="47" borderId="10" xfId="77" applyNumberFormat="1" applyFont="1" applyFill="1" applyBorder="1" applyAlignment="1">
      <alignment horizontal="center" vertical="center" wrapText="1"/>
    </xf>
    <xf numFmtId="4" fontId="109" fillId="47" borderId="10" xfId="77" applyNumberFormat="1" applyFont="1" applyFill="1" applyBorder="1" applyAlignment="1">
      <alignment horizontal="center" vertical="center" wrapText="1"/>
    </xf>
    <xf numFmtId="4" fontId="107" fillId="56" borderId="10" xfId="77" applyNumberFormat="1" applyFont="1" applyFill="1" applyBorder="1" applyAlignment="1">
      <alignment horizontal="center" vertical="center" wrapText="1"/>
    </xf>
    <xf numFmtId="4" fontId="74" fillId="45" borderId="10" xfId="77" applyNumberFormat="1" applyFont="1" applyFill="1" applyBorder="1" applyAlignment="1">
      <alignment horizontal="center" vertical="center" wrapText="1"/>
    </xf>
    <xf numFmtId="0" fontId="74" fillId="53" borderId="10" xfId="77" applyFont="1" applyFill="1" applyBorder="1" applyAlignment="1">
      <alignment horizontal="left" vertical="center" wrapText="1"/>
    </xf>
    <xf numFmtId="168" fontId="74" fillId="53" borderId="10" xfId="77" applyNumberFormat="1" applyFont="1" applyFill="1" applyBorder="1" applyAlignment="1">
      <alignment horizontal="center" vertical="center" wrapText="1"/>
    </xf>
    <xf numFmtId="3" fontId="107" fillId="50" borderId="10" xfId="77" applyNumberFormat="1" applyFont="1" applyFill="1" applyBorder="1" applyAlignment="1">
      <alignment horizontal="center" vertical="center" wrapText="1"/>
    </xf>
    <xf numFmtId="167" fontId="107" fillId="50" borderId="10" xfId="77" applyNumberFormat="1" applyFont="1" applyFill="1" applyBorder="1" applyAlignment="1">
      <alignment horizontal="center" vertical="center" wrapText="1"/>
    </xf>
    <xf numFmtId="4" fontId="107" fillId="50" borderId="10" xfId="77" applyNumberFormat="1" applyFont="1" applyFill="1" applyBorder="1" applyAlignment="1">
      <alignment horizontal="center" vertical="center" wrapText="1"/>
    </xf>
    <xf numFmtId="4" fontId="107" fillId="46" borderId="10" xfId="77" applyNumberFormat="1" applyFont="1" applyFill="1" applyBorder="1" applyAlignment="1">
      <alignment horizontal="center" vertical="center" wrapText="1"/>
    </xf>
    <xf numFmtId="168" fontId="107" fillId="46" borderId="10" xfId="77" applyNumberFormat="1" applyFont="1" applyFill="1" applyBorder="1" applyAlignment="1">
      <alignment horizontal="center" vertical="center" wrapText="1"/>
    </xf>
    <xf numFmtId="165" fontId="107" fillId="46" borderId="10" xfId="77" applyNumberFormat="1" applyFont="1" applyFill="1" applyBorder="1" applyAlignment="1">
      <alignment horizontal="center" vertical="center" wrapText="1"/>
    </xf>
    <xf numFmtId="168" fontId="105" fillId="46" borderId="10" xfId="77" applyNumberFormat="1" applyFont="1" applyFill="1" applyBorder="1" applyAlignment="1">
      <alignment horizontal="center" vertical="center" wrapText="1"/>
    </xf>
    <xf numFmtId="165" fontId="107" fillId="49" borderId="10" xfId="77" applyNumberFormat="1" applyFont="1" applyFill="1" applyBorder="1" applyAlignment="1">
      <alignment horizontal="center" vertical="center" wrapText="1"/>
    </xf>
    <xf numFmtId="168" fontId="105" fillId="49" borderId="10" xfId="77" applyNumberFormat="1" applyFont="1" applyFill="1" applyBorder="1" applyAlignment="1">
      <alignment horizontal="center" vertical="center" wrapText="1"/>
    </xf>
    <xf numFmtId="168" fontId="107" fillId="47" borderId="10" xfId="77" applyNumberFormat="1" applyFont="1" applyFill="1" applyBorder="1" applyAlignment="1">
      <alignment horizontal="center" vertical="center" wrapText="1"/>
    </xf>
    <xf numFmtId="168" fontId="109" fillId="47" borderId="10" xfId="77" applyNumberFormat="1" applyFont="1" applyFill="1" applyBorder="1" applyAlignment="1">
      <alignment horizontal="center" vertical="center" wrapText="1"/>
    </xf>
    <xf numFmtId="168" fontId="107" fillId="56" borderId="10" xfId="77" applyNumberFormat="1" applyFont="1" applyFill="1" applyBorder="1" applyAlignment="1">
      <alignment horizontal="center" vertical="center" wrapText="1"/>
    </xf>
    <xf numFmtId="0" fontId="45" fillId="53" borderId="0" xfId="0" applyFont="1" applyFill="1"/>
    <xf numFmtId="10" fontId="107" fillId="46" borderId="10" xfId="77" applyNumberFormat="1" applyFont="1" applyFill="1" applyBorder="1" applyAlignment="1">
      <alignment horizontal="center" vertical="center" wrapText="1"/>
    </xf>
    <xf numFmtId="182" fontId="107" fillId="46" borderId="10" xfId="77" applyNumberFormat="1" applyFont="1" applyFill="1" applyBorder="1" applyAlignment="1">
      <alignment horizontal="center" vertical="center" wrapText="1"/>
    </xf>
    <xf numFmtId="4" fontId="105" fillId="46" borderId="10" xfId="77" applyNumberFormat="1" applyFont="1" applyFill="1" applyBorder="1" applyAlignment="1">
      <alignment horizontal="center" vertical="center" wrapText="1"/>
    </xf>
    <xf numFmtId="4" fontId="105" fillId="49" borderId="10" xfId="77" applyNumberFormat="1" applyFont="1" applyFill="1" applyBorder="1" applyAlignment="1">
      <alignment horizontal="center" vertical="center" wrapText="1"/>
    </xf>
    <xf numFmtId="0" fontId="56" fillId="0" borderId="10" xfId="77" applyFont="1" applyBorder="1" applyAlignment="1">
      <alignment horizontal="left" vertical="center" wrapText="1"/>
    </xf>
    <xf numFmtId="4" fontId="81" fillId="46" borderId="10" xfId="77" applyNumberFormat="1" applyFont="1" applyFill="1" applyBorder="1" applyAlignment="1">
      <alignment horizontal="center" vertical="center" wrapText="1"/>
    </xf>
    <xf numFmtId="165" fontId="81" fillId="46" borderId="10" xfId="77" applyNumberFormat="1" applyFont="1" applyFill="1" applyBorder="1" applyAlignment="1">
      <alignment horizontal="center" vertical="center" wrapText="1"/>
    </xf>
    <xf numFmtId="182" fontId="81" fillId="46" borderId="10" xfId="77" applyNumberFormat="1" applyFont="1" applyFill="1" applyBorder="1" applyAlignment="1">
      <alignment horizontal="center" vertical="center" wrapText="1"/>
    </xf>
    <xf numFmtId="165" fontId="81" fillId="49" borderId="10" xfId="77" applyNumberFormat="1" applyFont="1" applyFill="1" applyBorder="1" applyAlignment="1">
      <alignment horizontal="center" vertical="center" wrapText="1"/>
    </xf>
    <xf numFmtId="4" fontId="81" fillId="49" borderId="10" xfId="77" applyNumberFormat="1" applyFont="1" applyFill="1" applyBorder="1" applyAlignment="1">
      <alignment horizontal="center" vertical="center" wrapText="1"/>
    </xf>
    <xf numFmtId="4" fontId="81" fillId="47" borderId="10" xfId="77" applyNumberFormat="1" applyFont="1" applyFill="1" applyBorder="1" applyAlignment="1">
      <alignment horizontal="center" vertical="center" wrapText="1"/>
    </xf>
    <xf numFmtId="0" fontId="55" fillId="53" borderId="10" xfId="77" applyFont="1" applyFill="1" applyBorder="1" applyAlignment="1">
      <alignment horizontal="left" vertical="center" wrapText="1"/>
    </xf>
    <xf numFmtId="168" fontId="106" fillId="46" borderId="10" xfId="77" applyNumberFormat="1" applyFont="1" applyFill="1" applyBorder="1" applyAlignment="1">
      <alignment horizontal="center" vertical="center" wrapText="1"/>
    </xf>
    <xf numFmtId="165" fontId="106" fillId="46" borderId="10" xfId="77" applyNumberFormat="1" applyFont="1" applyFill="1" applyBorder="1" applyAlignment="1">
      <alignment horizontal="center" vertical="center" wrapText="1"/>
    </xf>
    <xf numFmtId="182" fontId="106" fillId="46" borderId="10" xfId="77" applyNumberFormat="1" applyFont="1" applyFill="1" applyBorder="1" applyAlignment="1">
      <alignment horizontal="center" vertical="center" wrapText="1"/>
    </xf>
    <xf numFmtId="168" fontId="81" fillId="46" borderId="10" xfId="77" applyNumberFormat="1" applyFont="1" applyFill="1" applyBorder="1" applyAlignment="1">
      <alignment horizontal="center" vertical="center" wrapText="1"/>
    </xf>
    <xf numFmtId="165" fontId="106" fillId="49" borderId="10" xfId="77" applyNumberFormat="1" applyFont="1" applyFill="1" applyBorder="1" applyAlignment="1">
      <alignment horizontal="center" vertical="center" wrapText="1"/>
    </xf>
    <xf numFmtId="168" fontId="81" fillId="49" borderId="10" xfId="77" applyNumberFormat="1" applyFont="1" applyFill="1" applyBorder="1" applyAlignment="1">
      <alignment horizontal="center" vertical="center" wrapText="1"/>
    </xf>
    <xf numFmtId="168" fontId="106" fillId="47" borderId="10" xfId="77" applyNumberFormat="1" applyFont="1" applyFill="1" applyBorder="1" applyAlignment="1">
      <alignment horizontal="center" vertical="center" wrapText="1"/>
    </xf>
    <xf numFmtId="0" fontId="55" fillId="0" borderId="10" xfId="77" applyFont="1" applyBorder="1" applyAlignment="1">
      <alignment horizontal="left" vertical="center" wrapText="1"/>
    </xf>
    <xf numFmtId="4" fontId="106" fillId="46" borderId="10" xfId="77" applyNumberFormat="1" applyFont="1" applyFill="1" applyBorder="1" applyAlignment="1">
      <alignment horizontal="center" vertical="center" wrapText="1"/>
    </xf>
    <xf numFmtId="4" fontId="106" fillId="47" borderId="10" xfId="77" applyNumberFormat="1" applyFont="1" applyFill="1" applyBorder="1" applyAlignment="1">
      <alignment horizontal="center" vertical="center" wrapText="1"/>
    </xf>
    <xf numFmtId="0" fontId="69" fillId="53" borderId="10" xfId="77" applyFont="1" applyFill="1" applyBorder="1" applyAlignment="1">
      <alignment horizontal="left" vertical="center" wrapText="1"/>
    </xf>
    <xf numFmtId="165" fontId="105" fillId="46" borderId="10" xfId="77" applyNumberFormat="1" applyFont="1" applyFill="1" applyBorder="1" applyAlignment="1">
      <alignment horizontal="center" vertical="center" wrapText="1"/>
    </xf>
    <xf numFmtId="182" fontId="105" fillId="46" borderId="10" xfId="77" applyNumberFormat="1" applyFont="1" applyFill="1" applyBorder="1" applyAlignment="1">
      <alignment horizontal="center" vertical="center" wrapText="1"/>
    </xf>
    <xf numFmtId="165" fontId="105" fillId="49" borderId="10" xfId="77" applyNumberFormat="1" applyFont="1" applyFill="1" applyBorder="1" applyAlignment="1">
      <alignment horizontal="center" vertical="center" wrapText="1"/>
    </xf>
    <xf numFmtId="0" fontId="48" fillId="53" borderId="0" xfId="0" applyFont="1" applyFill="1"/>
    <xf numFmtId="0" fontId="56" fillId="50" borderId="10" xfId="77" applyFont="1" applyFill="1" applyBorder="1" applyAlignment="1">
      <alignment horizontal="left" vertical="center" wrapText="1"/>
    </xf>
    <xf numFmtId="0" fontId="55" fillId="50" borderId="10" xfId="77" applyFont="1" applyFill="1" applyBorder="1" applyAlignment="1">
      <alignment horizontal="left" vertical="center" wrapText="1"/>
    </xf>
    <xf numFmtId="0" fontId="45" fillId="50" borderId="0" xfId="0" applyFont="1" applyFill="1"/>
    <xf numFmtId="0" fontId="69" fillId="38" borderId="10" xfId="77" applyFont="1" applyFill="1" applyBorder="1" applyAlignment="1">
      <alignment horizontal="left" vertical="center" wrapText="1"/>
    </xf>
    <xf numFmtId="0" fontId="74" fillId="38" borderId="10" xfId="77" applyFont="1" applyFill="1" applyBorder="1" applyAlignment="1">
      <alignment horizontal="left" vertical="center" wrapText="1"/>
    </xf>
    <xf numFmtId="3" fontId="107" fillId="38" borderId="10" xfId="77" applyNumberFormat="1" applyFont="1" applyFill="1" applyBorder="1" applyAlignment="1">
      <alignment horizontal="center" vertical="center" wrapText="1"/>
    </xf>
    <xf numFmtId="167" fontId="107" fillId="38" borderId="10" xfId="77" applyNumberFormat="1" applyFont="1" applyFill="1" applyBorder="1" applyAlignment="1">
      <alignment horizontal="center" vertical="center" wrapText="1"/>
    </xf>
    <xf numFmtId="4" fontId="107" fillId="38" borderId="10" xfId="77" applyNumberFormat="1" applyFont="1" applyFill="1" applyBorder="1" applyAlignment="1">
      <alignment horizontal="center" vertical="center" wrapText="1"/>
    </xf>
    <xf numFmtId="182" fontId="107" fillId="38" borderId="10" xfId="77" applyNumberFormat="1" applyFont="1" applyFill="1" applyBorder="1" applyAlignment="1">
      <alignment horizontal="center" vertical="center" wrapText="1"/>
    </xf>
    <xf numFmtId="4" fontId="105" fillId="38" borderId="10" xfId="77" applyNumberFormat="1" applyFont="1" applyFill="1" applyBorder="1" applyAlignment="1">
      <alignment horizontal="center" vertical="center" wrapText="1"/>
    </xf>
    <xf numFmtId="165" fontId="107" fillId="38" borderId="10" xfId="77" applyNumberFormat="1" applyFont="1" applyFill="1" applyBorder="1" applyAlignment="1">
      <alignment horizontal="center" vertical="center" wrapText="1"/>
    </xf>
    <xf numFmtId="0" fontId="79" fillId="0" borderId="10" xfId="77" applyFont="1" applyBorder="1" applyAlignment="1">
      <alignment horizontal="left" vertical="center" wrapText="1"/>
    </xf>
    <xf numFmtId="0" fontId="75" fillId="0" borderId="10" xfId="77" applyFont="1" applyBorder="1" applyAlignment="1">
      <alignment horizontal="left" vertical="center" wrapText="1"/>
    </xf>
    <xf numFmtId="4" fontId="109" fillId="46" borderId="10" xfId="77" applyNumberFormat="1" applyFont="1" applyFill="1" applyBorder="1" applyAlignment="1">
      <alignment horizontal="center" vertical="center" wrapText="1"/>
    </xf>
    <xf numFmtId="165" fontId="109" fillId="46" borderId="10" xfId="77" applyNumberFormat="1" applyFont="1" applyFill="1" applyBorder="1" applyAlignment="1">
      <alignment horizontal="center" vertical="center" wrapText="1"/>
    </xf>
    <xf numFmtId="165" fontId="109" fillId="43" borderId="10" xfId="77" applyNumberFormat="1" applyFont="1" applyFill="1" applyBorder="1" applyAlignment="1">
      <alignment horizontal="center" vertical="center" wrapText="1"/>
    </xf>
    <xf numFmtId="182" fontId="109" fillId="43" borderId="10" xfId="77" applyNumberFormat="1" applyFont="1" applyFill="1" applyBorder="1" applyAlignment="1">
      <alignment horizontal="center" vertical="center" wrapText="1"/>
    </xf>
    <xf numFmtId="4" fontId="108" fillId="46" borderId="10" xfId="77" applyNumberFormat="1" applyFont="1" applyFill="1" applyBorder="1" applyAlignment="1">
      <alignment horizontal="center" vertical="center" wrapText="1"/>
    </xf>
    <xf numFmtId="165" fontId="109" fillId="49" borderId="10" xfId="77" applyNumberFormat="1" applyFont="1" applyFill="1" applyBorder="1" applyAlignment="1">
      <alignment horizontal="center" vertical="center" wrapText="1"/>
    </xf>
    <xf numFmtId="4" fontId="108" fillId="49" borderId="10" xfId="77" applyNumberFormat="1" applyFont="1" applyFill="1" applyBorder="1" applyAlignment="1">
      <alignment horizontal="center" vertical="center" wrapText="1"/>
    </xf>
    <xf numFmtId="182" fontId="109" fillId="46" borderId="10" xfId="77" applyNumberFormat="1" applyFont="1" applyFill="1" applyBorder="1" applyAlignment="1">
      <alignment horizontal="center" vertical="center" wrapText="1"/>
    </xf>
    <xf numFmtId="0" fontId="78" fillId="0" borderId="10" xfId="77" applyFont="1" applyBorder="1" applyAlignment="1">
      <alignment horizontal="left" vertical="center" wrapText="1"/>
    </xf>
    <xf numFmtId="0" fontId="76" fillId="0" borderId="10" xfId="77" applyFont="1" applyBorder="1" applyAlignment="1">
      <alignment horizontal="left" vertical="center" wrapText="1"/>
    </xf>
    <xf numFmtId="165" fontId="111" fillId="46" borderId="10" xfId="77" applyNumberFormat="1" applyFont="1" applyFill="1" applyBorder="1" applyAlignment="1">
      <alignment horizontal="center" vertical="center" wrapText="1"/>
    </xf>
    <xf numFmtId="182" fontId="111" fillId="46" borderId="10" xfId="77" applyNumberFormat="1" applyFont="1" applyFill="1" applyBorder="1" applyAlignment="1">
      <alignment horizontal="center" vertical="center" wrapText="1"/>
    </xf>
    <xf numFmtId="0" fontId="56" fillId="47" borderId="10" xfId="77" applyFont="1" applyFill="1" applyBorder="1" applyAlignment="1">
      <alignment horizontal="left" vertical="center" wrapText="1"/>
    </xf>
    <xf numFmtId="0" fontId="55" fillId="47" borderId="10" xfId="77" applyFont="1" applyFill="1" applyBorder="1" applyAlignment="1">
      <alignment horizontal="left" vertical="center" wrapText="1"/>
    </xf>
    <xf numFmtId="4" fontId="111" fillId="46" borderId="10" xfId="77" applyNumberFormat="1" applyFont="1" applyFill="1" applyBorder="1" applyAlignment="1">
      <alignment horizontal="center" vertical="center" wrapText="1"/>
    </xf>
    <xf numFmtId="165" fontId="111" fillId="43" borderId="10" xfId="77" applyNumberFormat="1" applyFont="1" applyFill="1" applyBorder="1" applyAlignment="1">
      <alignment horizontal="center" vertical="center" wrapText="1"/>
    </xf>
    <xf numFmtId="182" fontId="111" fillId="43" borderId="10" xfId="77" applyNumberFormat="1" applyFont="1" applyFill="1" applyBorder="1" applyAlignment="1">
      <alignment horizontal="center" vertical="center" wrapText="1"/>
    </xf>
    <xf numFmtId="4" fontId="110" fillId="46" borderId="10" xfId="77" applyNumberFormat="1" applyFont="1" applyFill="1" applyBorder="1" applyAlignment="1">
      <alignment horizontal="center" vertical="center" wrapText="1"/>
    </xf>
    <xf numFmtId="165" fontId="111" fillId="49" borderId="10" xfId="77" applyNumberFormat="1" applyFont="1" applyFill="1" applyBorder="1" applyAlignment="1">
      <alignment horizontal="center" vertical="center" wrapText="1"/>
    </xf>
    <xf numFmtId="4" fontId="110" fillId="49" borderId="10" xfId="77" applyNumberFormat="1" applyFont="1" applyFill="1" applyBorder="1" applyAlignment="1">
      <alignment horizontal="center" vertical="center" wrapText="1"/>
    </xf>
    <xf numFmtId="4" fontId="111" fillId="47" borderId="10" xfId="77" applyNumberFormat="1" applyFont="1" applyFill="1" applyBorder="1" applyAlignment="1">
      <alignment horizontal="center" vertical="center" wrapText="1"/>
    </xf>
    <xf numFmtId="0" fontId="78" fillId="34" borderId="10" xfId="77" applyFont="1" applyFill="1" applyBorder="1" applyAlignment="1">
      <alignment horizontal="left" vertical="center" wrapText="1"/>
    </xf>
    <xf numFmtId="0" fontId="76" fillId="34" borderId="10" xfId="77" applyFont="1" applyFill="1" applyBorder="1" applyAlignment="1">
      <alignment horizontal="left" vertical="center" wrapText="1"/>
    </xf>
    <xf numFmtId="0" fontId="49" fillId="34" borderId="0" xfId="0" applyFont="1" applyFill="1"/>
    <xf numFmtId="0" fontId="78" fillId="50" borderId="10" xfId="77" applyFont="1" applyFill="1" applyBorder="1" applyAlignment="1">
      <alignment horizontal="left" vertical="center" wrapText="1"/>
    </xf>
    <xf numFmtId="0" fontId="76" fillId="50" borderId="10" xfId="77" applyFont="1" applyFill="1" applyBorder="1" applyAlignment="1">
      <alignment horizontal="left" vertical="center" wrapText="1"/>
    </xf>
    <xf numFmtId="0" fontId="49" fillId="50" borderId="0" xfId="0" applyFont="1" applyFill="1"/>
    <xf numFmtId="178" fontId="56" fillId="0" borderId="10" xfId="77" applyNumberFormat="1" applyFont="1" applyBorder="1" applyAlignment="1">
      <alignment horizontal="left" vertical="center" wrapText="1"/>
    </xf>
    <xf numFmtId="178" fontId="55" fillId="0" borderId="10" xfId="77" applyNumberFormat="1" applyFont="1" applyBorder="1" applyAlignment="1">
      <alignment horizontal="left" vertical="center" wrapText="1"/>
    </xf>
    <xf numFmtId="178" fontId="106" fillId="46" borderId="10" xfId="77" applyNumberFormat="1" applyFont="1" applyFill="1" applyBorder="1" applyAlignment="1">
      <alignment horizontal="center" vertical="center" wrapText="1"/>
    </xf>
    <xf numFmtId="178" fontId="81" fillId="46" borderId="10" xfId="77" applyNumberFormat="1" applyFont="1" applyFill="1" applyBorder="1" applyAlignment="1">
      <alignment horizontal="center" vertical="center" wrapText="1"/>
    </xf>
    <xf numFmtId="178" fontId="81" fillId="49" borderId="10" xfId="77" applyNumberFormat="1" applyFont="1" applyFill="1" applyBorder="1" applyAlignment="1">
      <alignment horizontal="center" vertical="center" wrapText="1"/>
    </xf>
    <xf numFmtId="184" fontId="106" fillId="47" borderId="10" xfId="77" applyNumberFormat="1" applyFont="1" applyFill="1" applyBorder="1" applyAlignment="1">
      <alignment horizontal="center" vertical="center" wrapText="1"/>
    </xf>
    <xf numFmtId="0" fontId="69" fillId="63" borderId="10" xfId="77" applyFont="1" applyFill="1" applyBorder="1" applyAlignment="1">
      <alignment horizontal="left" vertical="center" wrapText="1"/>
    </xf>
    <xf numFmtId="0" fontId="74" fillId="63" borderId="10" xfId="77" applyFont="1" applyFill="1" applyBorder="1" applyAlignment="1">
      <alignment horizontal="left" vertical="center" wrapText="1"/>
    </xf>
    <xf numFmtId="3" fontId="107" fillId="63" borderId="10" xfId="77" applyNumberFormat="1" applyFont="1" applyFill="1" applyBorder="1" applyAlignment="1">
      <alignment horizontal="center" vertical="center" wrapText="1"/>
    </xf>
    <xf numFmtId="167" fontId="107" fillId="63" borderId="10" xfId="77" applyNumberFormat="1" applyFont="1" applyFill="1" applyBorder="1" applyAlignment="1">
      <alignment horizontal="center" vertical="center" wrapText="1"/>
    </xf>
    <xf numFmtId="4" fontId="107" fillId="63" borderId="10" xfId="77" applyNumberFormat="1" applyFont="1" applyFill="1" applyBorder="1" applyAlignment="1">
      <alignment horizontal="center" vertical="center" wrapText="1"/>
    </xf>
    <xf numFmtId="182" fontId="107" fillId="63" borderId="10" xfId="77" applyNumberFormat="1" applyFont="1" applyFill="1" applyBorder="1" applyAlignment="1">
      <alignment horizontal="center" vertical="center" wrapText="1"/>
    </xf>
    <xf numFmtId="165" fontId="107" fillId="63" borderId="10" xfId="77" applyNumberFormat="1" applyFont="1" applyFill="1" applyBorder="1" applyAlignment="1">
      <alignment horizontal="center" vertical="center" wrapText="1"/>
    </xf>
    <xf numFmtId="4" fontId="105" fillId="63" borderId="10" xfId="77" applyNumberFormat="1" applyFont="1" applyFill="1" applyBorder="1" applyAlignment="1">
      <alignment horizontal="center" vertical="center" wrapText="1"/>
    </xf>
    <xf numFmtId="0" fontId="56" fillId="46" borderId="10" xfId="77" applyFont="1" applyFill="1" applyBorder="1" applyAlignment="1">
      <alignment horizontal="left" vertical="center" wrapText="1"/>
    </xf>
    <xf numFmtId="0" fontId="55" fillId="46" borderId="10" xfId="77" applyFont="1" applyFill="1" applyBorder="1" applyAlignment="1">
      <alignment horizontal="left" vertical="center" wrapText="1"/>
    </xf>
    <xf numFmtId="180" fontId="78" fillId="0" borderId="10" xfId="77" applyNumberFormat="1" applyFont="1" applyBorder="1" applyAlignment="1">
      <alignment horizontal="left" vertical="center" wrapText="1"/>
    </xf>
    <xf numFmtId="180" fontId="76" fillId="0" borderId="10" xfId="77" applyNumberFormat="1" applyFont="1" applyBorder="1" applyAlignment="1">
      <alignment horizontal="left" vertical="center" wrapText="1"/>
    </xf>
    <xf numFmtId="184" fontId="111" fillId="46" borderId="10" xfId="77" applyNumberFormat="1" applyFont="1" applyFill="1" applyBorder="1" applyAlignment="1">
      <alignment horizontal="center" vertical="center" wrapText="1"/>
    </xf>
    <xf numFmtId="180" fontId="110" fillId="46" borderId="10" xfId="77" applyNumberFormat="1" applyFont="1" applyFill="1" applyBorder="1" applyAlignment="1">
      <alignment horizontal="center" vertical="center" wrapText="1"/>
    </xf>
    <xf numFmtId="180" fontId="110" fillId="49" borderId="10" xfId="77" applyNumberFormat="1" applyFont="1" applyFill="1" applyBorder="1" applyAlignment="1">
      <alignment horizontal="center" vertical="center" wrapText="1"/>
    </xf>
    <xf numFmtId="184" fontId="111" fillId="47" borderId="10" xfId="77" applyNumberFormat="1" applyFont="1" applyFill="1" applyBorder="1" applyAlignment="1">
      <alignment horizontal="center" vertical="center" wrapText="1"/>
    </xf>
    <xf numFmtId="165" fontId="111" fillId="57" borderId="10" xfId="77" applyNumberFormat="1" applyFont="1" applyFill="1" applyBorder="1" applyAlignment="1">
      <alignment horizontal="center" vertical="center" wrapText="1"/>
    </xf>
    <xf numFmtId="182" fontId="111" fillId="57" borderId="10" xfId="77" applyNumberFormat="1" applyFont="1" applyFill="1" applyBorder="1" applyAlignment="1">
      <alignment horizontal="center" vertical="center" wrapText="1"/>
    </xf>
    <xf numFmtId="0" fontId="69" fillId="45" borderId="10" xfId="77" applyFont="1" applyFill="1" applyBorder="1" applyAlignment="1">
      <alignment horizontal="left" vertical="center" wrapText="1"/>
    </xf>
    <xf numFmtId="168" fontId="74" fillId="45" borderId="10" xfId="77" applyNumberFormat="1" applyFont="1" applyFill="1" applyBorder="1" applyAlignment="1">
      <alignment horizontal="center" vertical="center" wrapText="1"/>
    </xf>
    <xf numFmtId="3" fontId="107" fillId="45" borderId="10" xfId="77" applyNumberFormat="1" applyFont="1" applyFill="1" applyBorder="1" applyAlignment="1">
      <alignment horizontal="center" vertical="center" wrapText="1"/>
    </xf>
    <xf numFmtId="167" fontId="107" fillId="45" borderId="10" xfId="77" applyNumberFormat="1" applyFont="1" applyFill="1" applyBorder="1" applyAlignment="1">
      <alignment horizontal="center" vertical="center" wrapText="1"/>
    </xf>
    <xf numFmtId="4" fontId="107" fillId="45" borderId="10" xfId="77" applyNumberFormat="1" applyFont="1" applyFill="1" applyBorder="1" applyAlignment="1">
      <alignment horizontal="center" vertical="center" wrapText="1"/>
    </xf>
    <xf numFmtId="165" fontId="107" fillId="45" borderId="10" xfId="77" applyNumberFormat="1" applyFont="1" applyFill="1" applyBorder="1" applyAlignment="1">
      <alignment horizontal="center" vertical="center" wrapText="1"/>
    </xf>
    <xf numFmtId="4" fontId="105" fillId="45" borderId="10" xfId="77" applyNumberFormat="1" applyFont="1" applyFill="1" applyBorder="1" applyAlignment="1">
      <alignment horizontal="center" vertical="center" wrapText="1"/>
    </xf>
    <xf numFmtId="0" fontId="45" fillId="53" borderId="0" xfId="0" applyFont="1" applyFill="1" applyAlignment="1">
      <alignment horizontal="center"/>
    </xf>
    <xf numFmtId="0" fontId="74" fillId="45" borderId="10" xfId="77" applyFont="1" applyFill="1" applyBorder="1" applyAlignment="1">
      <alignment horizontal="left" vertical="center" wrapText="1"/>
    </xf>
    <xf numFmtId="182" fontId="107" fillId="45" borderId="10" xfId="77" applyNumberFormat="1" applyFont="1" applyFill="1" applyBorder="1" applyAlignment="1">
      <alignment horizontal="center" vertical="center" wrapText="1"/>
    </xf>
    <xf numFmtId="16" fontId="69" fillId="63" borderId="10" xfId="77" applyNumberFormat="1" applyFont="1" applyFill="1" applyBorder="1" applyAlignment="1">
      <alignment horizontal="left" vertical="center" wrapText="1"/>
    </xf>
    <xf numFmtId="0" fontId="74" fillId="48" borderId="10" xfId="77" applyFont="1" applyFill="1" applyBorder="1" applyAlignment="1">
      <alignment horizontal="left" vertical="center"/>
    </xf>
    <xf numFmtId="167" fontId="69" fillId="48" borderId="10" xfId="78" applyNumberFormat="1" applyFont="1" applyFill="1" applyBorder="1" applyAlignment="1">
      <alignment horizontal="center" vertical="center"/>
    </xf>
    <xf numFmtId="4" fontId="105" fillId="46" borderId="10" xfId="78" applyNumberFormat="1" applyFont="1" applyFill="1" applyBorder="1" applyAlignment="1">
      <alignment horizontal="center" vertical="center"/>
    </xf>
    <xf numFmtId="165" fontId="105" fillId="46" borderId="10" xfId="78" applyNumberFormat="1" applyFont="1" applyFill="1" applyBorder="1" applyAlignment="1">
      <alignment horizontal="center" vertical="center"/>
    </xf>
    <xf numFmtId="165" fontId="105" fillId="49" borderId="10" xfId="78" applyNumberFormat="1" applyFont="1" applyFill="1" applyBorder="1" applyAlignment="1">
      <alignment horizontal="center" vertical="center"/>
    </xf>
    <xf numFmtId="4" fontId="107" fillId="57" borderId="10" xfId="77" applyNumberFormat="1" applyFont="1" applyFill="1" applyBorder="1" applyAlignment="1">
      <alignment horizontal="center" vertical="center" wrapText="1"/>
    </xf>
    <xf numFmtId="0" fontId="69" fillId="48" borderId="10" xfId="77" applyFont="1" applyFill="1" applyBorder="1" applyAlignment="1">
      <alignment horizontal="left" vertical="center" wrapText="1"/>
    </xf>
    <xf numFmtId="4" fontId="105" fillId="47" borderId="10" xfId="78" applyNumberFormat="1" applyFont="1" applyFill="1" applyBorder="1" applyAlignment="1">
      <alignment horizontal="center" vertical="center"/>
    </xf>
    <xf numFmtId="4" fontId="105" fillId="49" borderId="10" xfId="78" applyNumberFormat="1" applyFont="1" applyFill="1" applyBorder="1" applyAlignment="1">
      <alignment horizontal="center" vertical="center"/>
    </xf>
    <xf numFmtId="4" fontId="45" fillId="34" borderId="0" xfId="0" applyNumberFormat="1" applyFont="1" applyFill="1"/>
    <xf numFmtId="4" fontId="49" fillId="0" borderId="0" xfId="0" applyNumberFormat="1" applyFont="1"/>
    <xf numFmtId="16" fontId="105" fillId="0" borderId="10" xfId="77" applyNumberFormat="1" applyFont="1" applyBorder="1" applyAlignment="1">
      <alignment horizontal="center" vertical="center" wrapText="1"/>
    </xf>
    <xf numFmtId="16" fontId="105" fillId="50" borderId="10" xfId="77" applyNumberFormat="1" applyFont="1" applyFill="1" applyBorder="1" applyAlignment="1">
      <alignment horizontal="center" vertical="center" wrapText="1"/>
    </xf>
    <xf numFmtId="16" fontId="105" fillId="41" borderId="10" xfId="77" applyNumberFormat="1" applyFont="1" applyFill="1" applyBorder="1" applyAlignment="1">
      <alignment horizontal="center" vertical="center" wrapText="1"/>
    </xf>
    <xf numFmtId="16" fontId="105" fillId="46" borderId="10" xfId="77" applyNumberFormat="1" applyFont="1" applyFill="1" applyBorder="1" applyAlignment="1">
      <alignment horizontal="center" vertical="center" wrapText="1"/>
    </xf>
    <xf numFmtId="16" fontId="105" fillId="35" borderId="10" xfId="77" applyNumberFormat="1" applyFont="1" applyFill="1" applyBorder="1" applyAlignment="1">
      <alignment horizontal="left" vertical="center" wrapText="1"/>
    </xf>
    <xf numFmtId="4" fontId="107" fillId="0" borderId="10" xfId="77" applyNumberFormat="1" applyFont="1" applyBorder="1" applyAlignment="1">
      <alignment horizontal="center" vertical="center" wrapText="1"/>
    </xf>
    <xf numFmtId="4" fontId="107" fillId="41" borderId="10" xfId="77" applyNumberFormat="1" applyFont="1" applyFill="1" applyBorder="1" applyAlignment="1">
      <alignment horizontal="center" vertical="center" wrapText="1"/>
    </xf>
    <xf numFmtId="0" fontId="55" fillId="36" borderId="10" xfId="0" applyFont="1" applyFill="1" applyBorder="1" applyAlignment="1">
      <alignment horizontal="center" vertical="center"/>
    </xf>
    <xf numFmtId="182" fontId="55" fillId="36" borderId="10" xfId="0" applyNumberFormat="1" applyFont="1" applyFill="1" applyBorder="1" applyAlignment="1">
      <alignment horizontal="center" vertical="center"/>
    </xf>
    <xf numFmtId="182" fontId="55" fillId="36" borderId="13" xfId="0" applyNumberFormat="1" applyFont="1" applyFill="1" applyBorder="1" applyAlignment="1">
      <alignment horizontal="center" vertical="center"/>
    </xf>
    <xf numFmtId="166" fontId="0" fillId="36" borderId="0" xfId="0" applyNumberFormat="1" applyFill="1"/>
    <xf numFmtId="0" fontId="107" fillId="0" borderId="10" xfId="0" applyFont="1" applyBorder="1" applyAlignment="1">
      <alignment horizontal="center" vertical="center" wrapText="1"/>
    </xf>
    <xf numFmtId="0" fontId="107" fillId="0" borderId="33" xfId="0" applyFont="1" applyBorder="1" applyAlignment="1">
      <alignment horizontal="center" vertical="center" wrapText="1"/>
    </xf>
    <xf numFmtId="3" fontId="63" fillId="36" borderId="0" xfId="0" applyNumberFormat="1" applyFont="1" applyFill="1"/>
    <xf numFmtId="4" fontId="0" fillId="64" borderId="0" xfId="0" applyNumberFormat="1" applyFill="1"/>
    <xf numFmtId="0" fontId="0" fillId="64" borderId="0" xfId="0" applyFill="1"/>
    <xf numFmtId="3" fontId="0" fillId="64" borderId="0" xfId="0" applyNumberFormat="1" applyFill="1"/>
    <xf numFmtId="0" fontId="172" fillId="36" borderId="10" xfId="0" applyFont="1" applyFill="1" applyBorder="1" applyAlignment="1">
      <alignment horizontal="center" vertical="center" wrapText="1"/>
    </xf>
    <xf numFmtId="0" fontId="172" fillId="36" borderId="17" xfId="0" applyFont="1" applyFill="1" applyBorder="1" applyAlignment="1">
      <alignment horizontal="center" vertical="center" wrapText="1"/>
    </xf>
    <xf numFmtId="3" fontId="55" fillId="36" borderId="10" xfId="77" applyNumberFormat="1" applyFont="1" applyFill="1" applyBorder="1" applyAlignment="1">
      <alignment horizontal="center" vertical="center" wrapText="1"/>
    </xf>
    <xf numFmtId="4" fontId="107" fillId="36" borderId="10" xfId="77" applyNumberFormat="1" applyFont="1" applyFill="1" applyBorder="1" applyAlignment="1">
      <alignment horizontal="center" vertical="center" wrapText="1"/>
    </xf>
    <xf numFmtId="4" fontId="45" fillId="36" borderId="0" xfId="0" applyNumberFormat="1" applyFont="1" applyFill="1"/>
    <xf numFmtId="0" fontId="175" fillId="47" borderId="17" xfId="0" applyFont="1" applyFill="1" applyBorder="1" applyAlignment="1">
      <alignment horizontal="center" vertical="center" wrapText="1"/>
    </xf>
    <xf numFmtId="0" fontId="172" fillId="42" borderId="17" xfId="0" applyFont="1" applyFill="1" applyBorder="1" applyAlignment="1">
      <alignment horizontal="center" vertical="center" wrapText="1"/>
    </xf>
    <xf numFmtId="0" fontId="172" fillId="37" borderId="10" xfId="0" applyFont="1" applyFill="1" applyBorder="1" applyAlignment="1">
      <alignment horizontal="center" vertical="center" wrapText="1"/>
    </xf>
    <xf numFmtId="3" fontId="106" fillId="0" borderId="34" xfId="42" applyNumberFormat="1" applyFont="1" applyBorder="1" applyAlignment="1">
      <alignment horizontal="center" vertical="center" wrapText="1"/>
    </xf>
    <xf numFmtId="3" fontId="106" fillId="0" borderId="35" xfId="42" applyNumberFormat="1" applyFont="1" applyBorder="1" applyAlignment="1">
      <alignment horizontal="center" vertical="center" wrapText="1"/>
    </xf>
    <xf numFmtId="10" fontId="115" fillId="0" borderId="17" xfId="42" applyNumberFormat="1" applyFont="1" applyBorder="1" applyAlignment="1">
      <alignment horizontal="center" vertical="center" wrapText="1"/>
    </xf>
    <xf numFmtId="180" fontId="105" fillId="0" borderId="10" xfId="42" applyNumberFormat="1" applyFont="1" applyBorder="1" applyAlignment="1">
      <alignment horizontal="left" vertical="center" wrapText="1"/>
    </xf>
    <xf numFmtId="180" fontId="107" fillId="0" borderId="10" xfId="42" applyNumberFormat="1" applyFont="1" applyBorder="1" applyAlignment="1">
      <alignment horizontal="left" vertical="center" wrapText="1"/>
    </xf>
    <xf numFmtId="0" fontId="107" fillId="55" borderId="10" xfId="42" applyFont="1" applyFill="1" applyBorder="1" applyAlignment="1">
      <alignment horizontal="left" vertical="center" wrapText="1"/>
    </xf>
    <xf numFmtId="168" fontId="107" fillId="55" borderId="10" xfId="42" applyNumberFormat="1" applyFont="1" applyFill="1" applyBorder="1" applyAlignment="1">
      <alignment horizontal="center" vertical="center" wrapText="1"/>
    </xf>
    <xf numFmtId="0" fontId="107" fillId="55" borderId="10" xfId="42" applyFont="1" applyFill="1" applyBorder="1" applyAlignment="1">
      <alignment horizontal="center" vertical="center" wrapText="1"/>
    </xf>
    <xf numFmtId="3" fontId="112" fillId="55" borderId="17" xfId="42" applyNumberFormat="1" applyFont="1" applyFill="1" applyBorder="1" applyAlignment="1">
      <alignment horizontal="center" vertical="center" wrapText="1"/>
    </xf>
    <xf numFmtId="165" fontId="112" fillId="55" borderId="17" xfId="42" applyNumberFormat="1" applyFont="1" applyFill="1" applyBorder="1" applyAlignment="1">
      <alignment horizontal="center" vertical="center" wrapText="1"/>
    </xf>
    <xf numFmtId="4" fontId="112" fillId="55" borderId="17" xfId="42" applyNumberFormat="1" applyFont="1" applyFill="1" applyBorder="1" applyAlignment="1">
      <alignment horizontal="center" vertical="center" wrapText="1"/>
    </xf>
    <xf numFmtId="10" fontId="112" fillId="55" borderId="17" xfId="42" applyNumberFormat="1" applyFont="1" applyFill="1" applyBorder="1" applyAlignment="1">
      <alignment horizontal="center" vertical="center" wrapText="1"/>
    </xf>
    <xf numFmtId="0" fontId="81" fillId="55" borderId="10" xfId="42" applyFont="1" applyFill="1" applyBorder="1" applyAlignment="1">
      <alignment horizontal="left" vertical="center" wrapText="1"/>
    </xf>
    <xf numFmtId="3" fontId="113" fillId="55" borderId="17" xfId="42" applyNumberFormat="1" applyFont="1" applyFill="1" applyBorder="1" applyAlignment="1">
      <alignment horizontal="center" vertical="center" wrapText="1"/>
    </xf>
    <xf numFmtId="4" fontId="113" fillId="55" borderId="17" xfId="42" applyNumberFormat="1" applyFont="1" applyFill="1" applyBorder="1" applyAlignment="1">
      <alignment horizontal="center" vertical="center" wrapText="1"/>
    </xf>
    <xf numFmtId="0" fontId="106" fillId="55" borderId="10" xfId="42" applyFont="1" applyFill="1" applyBorder="1" applyAlignment="1">
      <alignment horizontal="left" vertical="center" wrapText="1"/>
    </xf>
    <xf numFmtId="10" fontId="113" fillId="55" borderId="17" xfId="42" applyNumberFormat="1" applyFont="1" applyFill="1" applyBorder="1" applyAlignment="1">
      <alignment horizontal="center" vertical="center" wrapText="1"/>
    </xf>
    <xf numFmtId="0" fontId="105" fillId="38" borderId="10" xfId="42" applyFont="1" applyFill="1" applyBorder="1" applyAlignment="1">
      <alignment horizontal="left" vertical="center" wrapText="1"/>
    </xf>
    <xf numFmtId="0" fontId="107" fillId="38" borderId="10" xfId="42" applyFont="1" applyFill="1" applyBorder="1" applyAlignment="1">
      <alignment horizontal="left" vertical="center" wrapText="1"/>
    </xf>
    <xf numFmtId="165" fontId="112" fillId="38" borderId="17" xfId="42" applyNumberFormat="1" applyFont="1" applyFill="1" applyBorder="1" applyAlignment="1">
      <alignment horizontal="center" vertical="center" wrapText="1"/>
    </xf>
    <xf numFmtId="0" fontId="105" fillId="35" borderId="10" xfId="42" applyFont="1" applyFill="1" applyBorder="1" applyAlignment="1">
      <alignment horizontal="left" vertical="center" wrapText="1"/>
    </xf>
    <xf numFmtId="0" fontId="109" fillId="35" borderId="10" xfId="42" applyFont="1" applyFill="1" applyBorder="1" applyAlignment="1">
      <alignment horizontal="left" vertical="center" wrapText="1"/>
    </xf>
    <xf numFmtId="3" fontId="112" fillId="35" borderId="17" xfId="42" applyNumberFormat="1" applyFont="1" applyFill="1" applyBorder="1" applyAlignment="1">
      <alignment horizontal="center" vertical="center" wrapText="1"/>
    </xf>
    <xf numFmtId="4" fontId="112" fillId="35" borderId="17" xfId="42" applyNumberFormat="1" applyFont="1" applyFill="1" applyBorder="1" applyAlignment="1">
      <alignment horizontal="center" vertical="center" wrapText="1"/>
    </xf>
    <xf numFmtId="0" fontId="111" fillId="55" borderId="10" xfId="42" applyFont="1" applyFill="1" applyBorder="1" applyAlignment="1">
      <alignment horizontal="left" vertical="center" wrapText="1"/>
    </xf>
    <xf numFmtId="167" fontId="105" fillId="35" borderId="10" xfId="43" applyNumberFormat="1" applyFont="1" applyFill="1" applyBorder="1" applyAlignment="1">
      <alignment horizontal="left" vertical="center" wrapText="1"/>
    </xf>
    <xf numFmtId="167" fontId="105" fillId="38" borderId="10" xfId="43" applyNumberFormat="1" applyFont="1" applyFill="1" applyBorder="1" applyAlignment="1">
      <alignment horizontal="left" vertical="center" wrapText="1"/>
    </xf>
    <xf numFmtId="165" fontId="171" fillId="36" borderId="17" xfId="42" applyNumberFormat="1" applyFont="1" applyFill="1" applyBorder="1" applyAlignment="1">
      <alignment horizontal="center" vertical="center" wrapText="1"/>
    </xf>
    <xf numFmtId="0" fontId="106" fillId="34" borderId="10" xfId="42" applyFont="1" applyFill="1" applyBorder="1" applyAlignment="1">
      <alignment horizontal="left" vertical="center"/>
    </xf>
    <xf numFmtId="167" fontId="105" fillId="34" borderId="10" xfId="43" applyNumberFormat="1" applyFont="1" applyFill="1" applyBorder="1" applyAlignment="1">
      <alignment horizontal="center" vertical="center"/>
    </xf>
    <xf numFmtId="167" fontId="114" fillId="34" borderId="10" xfId="43" applyNumberFormat="1" applyFont="1" applyFill="1" applyBorder="1" applyAlignment="1">
      <alignment horizontal="center" vertical="center"/>
    </xf>
    <xf numFmtId="4" fontId="114" fillId="34" borderId="10" xfId="43" applyNumberFormat="1" applyFont="1" applyFill="1" applyBorder="1" applyAlignment="1">
      <alignment horizontal="center" vertical="center"/>
    </xf>
    <xf numFmtId="4" fontId="112" fillId="34" borderId="10" xfId="42" applyNumberFormat="1" applyFont="1" applyFill="1" applyBorder="1" applyAlignment="1">
      <alignment horizontal="center" vertical="center" wrapText="1"/>
    </xf>
    <xf numFmtId="3" fontId="112" fillId="34" borderId="17" xfId="42" applyNumberFormat="1" applyFont="1" applyFill="1" applyBorder="1" applyAlignment="1">
      <alignment horizontal="center" vertical="center" wrapText="1"/>
    </xf>
    <xf numFmtId="4" fontId="112" fillId="34" borderId="17" xfId="42" applyNumberFormat="1" applyFont="1" applyFill="1" applyBorder="1" applyAlignment="1">
      <alignment horizontal="center" vertical="center" wrapText="1"/>
    </xf>
    <xf numFmtId="10" fontId="112" fillId="34" borderId="17" xfId="42" applyNumberFormat="1" applyFont="1" applyFill="1" applyBorder="1" applyAlignment="1">
      <alignment horizontal="center" vertical="center" wrapText="1"/>
    </xf>
    <xf numFmtId="165" fontId="112" fillId="34" borderId="17" xfId="42" applyNumberFormat="1" applyFont="1" applyFill="1" applyBorder="1" applyAlignment="1">
      <alignment horizontal="center" vertical="center" wrapText="1"/>
    </xf>
    <xf numFmtId="0" fontId="108" fillId="64" borderId="10" xfId="42" applyFont="1" applyFill="1" applyBorder="1" applyAlignment="1">
      <alignment horizontal="left" vertical="center" wrapText="1"/>
    </xf>
    <xf numFmtId="0" fontId="109" fillId="64" borderId="10" xfId="42" applyFont="1" applyFill="1" applyBorder="1" applyAlignment="1">
      <alignment horizontal="left" vertical="center" wrapText="1"/>
    </xf>
    <xf numFmtId="3" fontId="112" fillId="64" borderId="17" xfId="42" applyNumberFormat="1" applyFont="1" applyFill="1" applyBorder="1" applyAlignment="1">
      <alignment horizontal="center" vertical="center" wrapText="1"/>
    </xf>
    <xf numFmtId="165" fontId="112" fillId="64" borderId="17" xfId="42" applyNumberFormat="1" applyFont="1" applyFill="1" applyBorder="1" applyAlignment="1">
      <alignment horizontal="center" vertical="center" wrapText="1"/>
    </xf>
    <xf numFmtId="4" fontId="112" fillId="64" borderId="17" xfId="42" applyNumberFormat="1" applyFont="1" applyFill="1" applyBorder="1" applyAlignment="1">
      <alignment horizontal="center" vertical="center" wrapText="1"/>
    </xf>
    <xf numFmtId="165" fontId="64" fillId="57" borderId="10" xfId="0" applyNumberFormat="1" applyFont="1" applyFill="1" applyBorder="1" applyAlignment="1">
      <alignment horizontal="center" vertical="center"/>
    </xf>
    <xf numFmtId="3" fontId="0" fillId="39" borderId="0" xfId="0" applyNumberFormat="1" applyFill="1"/>
    <xf numFmtId="0" fontId="63" fillId="39" borderId="0" xfId="0" applyFont="1" applyFill="1"/>
    <xf numFmtId="0" fontId="107" fillId="0" borderId="10" xfId="0" applyFont="1" applyBorder="1" applyAlignment="1">
      <alignment vertical="center" wrapText="1"/>
    </xf>
    <xf numFmtId="182" fontId="112" fillId="55" borderId="17" xfId="42" applyNumberFormat="1" applyFont="1" applyFill="1" applyBorder="1" applyAlignment="1">
      <alignment horizontal="center" vertical="center" wrapText="1"/>
    </xf>
    <xf numFmtId="182" fontId="113" fillId="55" borderId="17" xfId="42" applyNumberFormat="1" applyFont="1" applyFill="1" applyBorder="1" applyAlignment="1">
      <alignment horizontal="center" vertical="center" wrapText="1"/>
    </xf>
    <xf numFmtId="182" fontId="113" fillId="36" borderId="17" xfId="42" applyNumberFormat="1" applyFont="1" applyFill="1" applyBorder="1" applyAlignment="1">
      <alignment horizontal="center" vertical="center" wrapText="1"/>
    </xf>
    <xf numFmtId="182" fontId="112" fillId="36" borderId="17" xfId="42" applyNumberFormat="1" applyFont="1" applyFill="1" applyBorder="1" applyAlignment="1">
      <alignment horizontal="center" vertical="center" wrapText="1"/>
    </xf>
    <xf numFmtId="182" fontId="112" fillId="38" borderId="17" xfId="42" applyNumberFormat="1" applyFont="1" applyFill="1" applyBorder="1" applyAlignment="1">
      <alignment horizontal="center" vertical="center" wrapText="1"/>
    </xf>
    <xf numFmtId="182" fontId="115" fillId="0" borderId="17" xfId="42" applyNumberFormat="1" applyFont="1" applyBorder="1" applyAlignment="1">
      <alignment horizontal="center" vertical="center" wrapText="1"/>
    </xf>
    <xf numFmtId="182" fontId="112" fillId="0" borderId="17" xfId="42" applyNumberFormat="1" applyFont="1" applyBorder="1" applyAlignment="1">
      <alignment horizontal="center" vertical="center" wrapText="1"/>
    </xf>
    <xf numFmtId="182" fontId="113" fillId="0" borderId="17" xfId="42" applyNumberFormat="1" applyFont="1" applyBorder="1" applyAlignment="1">
      <alignment horizontal="center" vertical="center" wrapText="1"/>
    </xf>
    <xf numFmtId="182" fontId="112" fillId="35" borderId="17" xfId="42" applyNumberFormat="1" applyFont="1" applyFill="1" applyBorder="1" applyAlignment="1">
      <alignment horizontal="center" vertical="center" wrapText="1"/>
    </xf>
    <xf numFmtId="182" fontId="112" fillId="50" borderId="17" xfId="42" applyNumberFormat="1" applyFont="1" applyFill="1" applyBorder="1" applyAlignment="1">
      <alignment horizontal="center" vertical="center" wrapText="1"/>
    </xf>
    <xf numFmtId="0" fontId="176" fillId="57" borderId="10" xfId="42" applyFont="1" applyFill="1" applyBorder="1" applyAlignment="1">
      <alignment horizontal="left" vertical="center"/>
    </xf>
    <xf numFmtId="167" fontId="177" fillId="57" borderId="10" xfId="43" applyNumberFormat="1" applyFont="1" applyFill="1" applyBorder="1" applyAlignment="1">
      <alignment horizontal="center" vertical="center"/>
    </xf>
    <xf numFmtId="167" fontId="178" fillId="57" borderId="10" xfId="43" applyNumberFormat="1" applyFont="1" applyFill="1" applyBorder="1" applyAlignment="1">
      <alignment horizontal="center" vertical="center"/>
    </xf>
    <xf numFmtId="4" fontId="178" fillId="57" borderId="10" xfId="43" applyNumberFormat="1" applyFont="1" applyFill="1" applyBorder="1" applyAlignment="1">
      <alignment horizontal="center" vertical="center"/>
    </xf>
    <xf numFmtId="3" fontId="103" fillId="36" borderId="17" xfId="42" applyNumberFormat="1" applyFont="1" applyFill="1" applyBorder="1" applyAlignment="1">
      <alignment horizontal="center" vertical="center" wrapText="1"/>
    </xf>
    <xf numFmtId="165" fontId="114" fillId="36" borderId="17" xfId="42" applyNumberFormat="1" applyFont="1" applyFill="1" applyBorder="1" applyAlignment="1">
      <alignment horizontal="center" vertical="center" wrapText="1"/>
    </xf>
    <xf numFmtId="4" fontId="103" fillId="36" borderId="17" xfId="42" applyNumberFormat="1" applyFont="1" applyFill="1" applyBorder="1" applyAlignment="1">
      <alignment horizontal="center" vertical="center" wrapText="1"/>
    </xf>
    <xf numFmtId="182" fontId="103" fillId="36" borderId="17" xfId="42" applyNumberFormat="1" applyFont="1" applyFill="1" applyBorder="1" applyAlignment="1">
      <alignment horizontal="center" vertical="center" wrapText="1"/>
    </xf>
    <xf numFmtId="10" fontId="103" fillId="36" borderId="17" xfId="42" applyNumberFormat="1" applyFont="1" applyFill="1" applyBorder="1" applyAlignment="1">
      <alignment horizontal="center" vertical="center" wrapText="1"/>
    </xf>
    <xf numFmtId="0" fontId="0" fillId="50" borderId="10" xfId="0" applyFill="1" applyBorder="1" applyAlignment="1">
      <alignment horizontal="center" vertical="center" wrapText="1"/>
    </xf>
    <xf numFmtId="4" fontId="63" fillId="50" borderId="10" xfId="0" applyNumberFormat="1" applyFont="1" applyFill="1" applyBorder="1" applyAlignment="1">
      <alignment horizontal="center" vertical="center"/>
    </xf>
    <xf numFmtId="173" fontId="71" fillId="0" borderId="10" xfId="55" applyNumberFormat="1" applyBorder="1" applyAlignment="1">
      <alignment horizontal="center"/>
    </xf>
    <xf numFmtId="0" fontId="126" fillId="0" borderId="0" xfId="55" applyFont="1" applyAlignment="1">
      <alignment horizontal="center" vertical="center"/>
    </xf>
    <xf numFmtId="0" fontId="71" fillId="0" borderId="10" xfId="55" applyBorder="1" applyAlignment="1">
      <alignment vertical="center" wrapText="1"/>
    </xf>
    <xf numFmtId="183" fontId="71" fillId="39" borderId="10" xfId="55" applyNumberFormat="1" applyFill="1" applyBorder="1" applyAlignment="1">
      <alignment horizontal="center"/>
    </xf>
    <xf numFmtId="0" fontId="131" fillId="0" borderId="10" xfId="55" applyFont="1" applyBorder="1" applyAlignment="1">
      <alignment vertical="center" wrapText="1"/>
    </xf>
    <xf numFmtId="10" fontId="71" fillId="0" borderId="10" xfId="55" applyNumberFormat="1" applyBorder="1"/>
    <xf numFmtId="0" fontId="1" fillId="0" borderId="0" xfId="95"/>
    <xf numFmtId="0" fontId="31" fillId="49" borderId="10" xfId="94" applyFont="1" applyFill="1" applyBorder="1"/>
    <xf numFmtId="0" fontId="1" fillId="0" borderId="10" xfId="94" applyBorder="1"/>
    <xf numFmtId="0" fontId="61" fillId="0" borderId="10" xfId="94" applyFont="1" applyBorder="1" applyAlignment="1">
      <alignment horizontal="center" vertical="center"/>
    </xf>
    <xf numFmtId="3" fontId="1" fillId="0" borderId="10" xfId="94" applyNumberFormat="1" applyBorder="1"/>
    <xf numFmtId="3" fontId="31" fillId="36" borderId="10" xfId="94" applyNumberFormat="1" applyFont="1" applyFill="1" applyBorder="1"/>
    <xf numFmtId="0" fontId="1" fillId="0" borderId="10" xfId="95" applyBorder="1"/>
    <xf numFmtId="0" fontId="1" fillId="0" borderId="0" xfId="94"/>
    <xf numFmtId="3" fontId="31" fillId="0" borderId="10" xfId="95" applyNumberFormat="1" applyFont="1" applyBorder="1"/>
    <xf numFmtId="9" fontId="1" fillId="0" borderId="10" xfId="95" applyNumberFormat="1" applyBorder="1"/>
    <xf numFmtId="3" fontId="1" fillId="46" borderId="10" xfId="95" applyNumberFormat="1" applyFill="1" applyBorder="1"/>
    <xf numFmtId="3" fontId="1" fillId="0" borderId="10" xfId="95" applyNumberFormat="1" applyBorder="1"/>
    <xf numFmtId="0" fontId="141" fillId="0" borderId="0" xfId="80" applyFont="1"/>
    <xf numFmtId="0" fontId="182" fillId="50" borderId="10" xfId="80" applyFont="1" applyFill="1" applyBorder="1" applyAlignment="1">
      <alignment horizontal="center" vertical="center"/>
    </xf>
    <xf numFmtId="3" fontId="107" fillId="50" borderId="10" xfId="80" applyNumberFormat="1" applyFont="1" applyFill="1" applyBorder="1" applyAlignment="1">
      <alignment horizontal="center" vertical="center" wrapText="1"/>
    </xf>
    <xf numFmtId="167" fontId="107" fillId="50" borderId="10" xfId="80" applyNumberFormat="1" applyFont="1" applyFill="1" applyBorder="1" applyAlignment="1">
      <alignment horizontal="center" vertical="center" wrapText="1"/>
    </xf>
    <xf numFmtId="3" fontId="62" fillId="0" borderId="10" xfId="94" applyNumberFormat="1" applyFont="1" applyBorder="1" applyAlignment="1">
      <alignment horizontal="center" vertical="center" wrapText="1"/>
    </xf>
    <xf numFmtId="0" fontId="107" fillId="0" borderId="10" xfId="94" applyFont="1" applyBorder="1" applyAlignment="1">
      <alignment horizontal="left" vertical="center" wrapText="1"/>
    </xf>
    <xf numFmtId="3" fontId="183" fillId="0" borderId="10" xfId="80" applyNumberFormat="1" applyFont="1" applyBorder="1" applyAlignment="1">
      <alignment horizontal="center" vertical="center"/>
    </xf>
    <xf numFmtId="0" fontId="183" fillId="0" borderId="10" xfId="80" applyFont="1" applyBorder="1" applyAlignment="1">
      <alignment horizontal="center" vertical="center"/>
    </xf>
    <xf numFmtId="4" fontId="183" fillId="0" borderId="10" xfId="80" applyNumberFormat="1" applyFont="1" applyBorder="1" applyAlignment="1">
      <alignment horizontal="center" vertical="center"/>
    </xf>
    <xf numFmtId="186" fontId="141" fillId="0" borderId="10" xfId="80" applyNumberFormat="1" applyFont="1" applyBorder="1" applyAlignment="1">
      <alignment horizontal="center" vertical="center"/>
    </xf>
    <xf numFmtId="3" fontId="141" fillId="0" borderId="10" xfId="80" applyNumberFormat="1" applyFont="1" applyBorder="1" applyAlignment="1">
      <alignment horizontal="center" vertical="center"/>
    </xf>
    <xf numFmtId="10" fontId="141" fillId="0" borderId="10" xfId="80" applyNumberFormat="1" applyFont="1" applyBorder="1" applyAlignment="1">
      <alignment horizontal="center" vertical="center"/>
    </xf>
    <xf numFmtId="4" fontId="141" fillId="0" borderId="10" xfId="80" applyNumberFormat="1" applyFont="1" applyBorder="1" applyAlignment="1">
      <alignment horizontal="center" vertical="center"/>
    </xf>
    <xf numFmtId="186" fontId="183" fillId="0" borderId="10" xfId="80" applyNumberFormat="1" applyFont="1" applyBorder="1" applyAlignment="1">
      <alignment horizontal="center" vertical="center"/>
    </xf>
    <xf numFmtId="0" fontId="105" fillId="0" borderId="10" xfId="80" applyFont="1" applyBorder="1"/>
    <xf numFmtId="3" fontId="183" fillId="0" borderId="0" xfId="80" applyNumberFormat="1" applyFont="1" applyAlignment="1">
      <alignment horizontal="center" vertical="center"/>
    </xf>
    <xf numFmtId="172" fontId="105" fillId="39" borderId="10" xfId="80" applyNumberFormat="1" applyFont="1" applyFill="1" applyBorder="1"/>
    <xf numFmtId="172" fontId="141" fillId="0" borderId="0" xfId="80" applyNumberFormat="1" applyFont="1"/>
    <xf numFmtId="190" fontId="105" fillId="39" borderId="10" xfId="80" applyNumberFormat="1" applyFont="1" applyFill="1" applyBorder="1"/>
    <xf numFmtId="3" fontId="141" fillId="0" borderId="0" xfId="80" applyNumberFormat="1" applyFont="1"/>
    <xf numFmtId="183" fontId="105" fillId="39" borderId="10" xfId="80" applyNumberFormat="1" applyFont="1" applyFill="1" applyBorder="1"/>
    <xf numFmtId="0" fontId="184" fillId="0" borderId="0" xfId="80" applyFont="1"/>
    <xf numFmtId="10" fontId="141" fillId="0" borderId="0" xfId="80" applyNumberFormat="1" applyFont="1"/>
    <xf numFmtId="0" fontId="31" fillId="0" borderId="0" xfId="67" applyFont="1"/>
    <xf numFmtId="0" fontId="85" fillId="0" borderId="0" xfId="67" applyFont="1" applyAlignment="1">
      <alignment wrapText="1"/>
    </xf>
    <xf numFmtId="0" fontId="31" fillId="0" borderId="0" xfId="67" applyFont="1" applyAlignment="1">
      <alignment wrapText="1"/>
    </xf>
    <xf numFmtId="0" fontId="31" fillId="34" borderId="0" xfId="67" applyFont="1" applyFill="1" applyAlignment="1">
      <alignment wrapText="1"/>
    </xf>
    <xf numFmtId="0" fontId="126" fillId="0" borderId="0" xfId="67" applyFont="1"/>
    <xf numFmtId="0" fontId="43" fillId="0" borderId="0" xfId="67" applyFont="1" applyAlignment="1">
      <alignment wrapText="1"/>
    </xf>
    <xf numFmtId="0" fontId="126" fillId="0" borderId="0" xfId="67" applyFont="1" applyAlignment="1">
      <alignment wrapText="1"/>
    </xf>
    <xf numFmtId="0" fontId="126" fillId="34" borderId="0" xfId="67" applyFont="1" applyFill="1" applyAlignment="1">
      <alignment wrapText="1"/>
    </xf>
    <xf numFmtId="0" fontId="132" fillId="0" borderId="0" xfId="67" applyFont="1"/>
    <xf numFmtId="0" fontId="61" fillId="0" borderId="0" xfId="67" applyFont="1" applyAlignment="1">
      <alignment wrapText="1"/>
    </xf>
    <xf numFmtId="0" fontId="132" fillId="0" borderId="0" xfId="67" applyFont="1" applyAlignment="1">
      <alignment wrapText="1"/>
    </xf>
    <xf numFmtId="0" fontId="132" fillId="34" borderId="0" xfId="67" applyFont="1" applyFill="1" applyAlignment="1">
      <alignment wrapText="1"/>
    </xf>
    <xf numFmtId="173" fontId="54" fillId="0" borderId="10" xfId="67" applyNumberFormat="1" applyFont="1" applyBorder="1" applyAlignment="1">
      <alignment horizontal="right" vertical="center"/>
    </xf>
    <xf numFmtId="168" fontId="54" fillId="0" borderId="10" xfId="67" applyNumberFormat="1" applyFont="1" applyBorder="1" applyAlignment="1">
      <alignment horizontal="right" vertical="center"/>
    </xf>
    <xf numFmtId="167" fontId="54" fillId="0" borderId="10" xfId="67" applyNumberFormat="1" applyFont="1" applyBorder="1" applyAlignment="1">
      <alignment horizontal="right" vertical="center"/>
    </xf>
    <xf numFmtId="169" fontId="54" fillId="0" borderId="10" xfId="67" applyNumberFormat="1" applyFont="1" applyBorder="1" applyAlignment="1">
      <alignment horizontal="right" vertical="center"/>
    </xf>
    <xf numFmtId="165" fontId="54" fillId="0" borderId="10" xfId="67" applyNumberFormat="1" applyFont="1" applyBorder="1" applyAlignment="1">
      <alignment horizontal="right" vertical="center" wrapText="1"/>
    </xf>
    <xf numFmtId="4" fontId="54" fillId="0" borderId="10" xfId="67" applyNumberFormat="1" applyFont="1" applyBorder="1" applyAlignment="1">
      <alignment horizontal="right" vertical="center"/>
    </xf>
    <xf numFmtId="173" fontId="77" fillId="0" borderId="10" xfId="67" applyNumberFormat="1" applyFont="1" applyBorder="1" applyAlignment="1">
      <alignment horizontal="right" vertical="center"/>
    </xf>
    <xf numFmtId="0" fontId="33" fillId="0" borderId="10" xfId="67" applyFont="1" applyBorder="1" applyAlignment="1">
      <alignment vertical="center" wrapText="1"/>
    </xf>
    <xf numFmtId="165" fontId="54" fillId="0" borderId="10" xfId="67" applyNumberFormat="1" applyFont="1" applyBorder="1" applyAlignment="1">
      <alignment horizontal="right" vertical="center"/>
    </xf>
    <xf numFmtId="165" fontId="67" fillId="0" borderId="10" xfId="67" applyNumberFormat="1" applyFont="1" applyBorder="1" applyAlignment="1">
      <alignment horizontal="right" vertical="center"/>
    </xf>
    <xf numFmtId="165" fontId="67" fillId="0" borderId="10" xfId="67" applyNumberFormat="1" applyFont="1" applyBorder="1" applyAlignment="1">
      <alignment horizontal="center" vertical="center"/>
    </xf>
    <xf numFmtId="0" fontId="34" fillId="0" borderId="10" xfId="67" applyFont="1" applyBorder="1" applyAlignment="1">
      <alignment vertical="center" wrapText="1"/>
    </xf>
    <xf numFmtId="165" fontId="54" fillId="34" borderId="10" xfId="67" applyNumberFormat="1" applyFont="1" applyFill="1" applyBorder="1" applyAlignment="1">
      <alignment horizontal="right" vertical="center"/>
    </xf>
    <xf numFmtId="165" fontId="54" fillId="0" borderId="10" xfId="67" applyNumberFormat="1" applyFont="1" applyBorder="1" applyAlignment="1">
      <alignment horizontal="center" vertical="center"/>
    </xf>
    <xf numFmtId="4" fontId="54" fillId="0" borderId="10" xfId="67" applyNumberFormat="1" applyFont="1" applyBorder="1" applyAlignment="1">
      <alignment horizontal="right" vertical="center" wrapText="1"/>
    </xf>
    <xf numFmtId="0" fontId="90" fillId="0" borderId="10" xfId="67" applyFont="1" applyBorder="1" applyAlignment="1">
      <alignment vertical="center" wrapText="1"/>
    </xf>
    <xf numFmtId="167" fontId="77" fillId="0" borderId="10" xfId="67" applyNumberFormat="1" applyFont="1" applyBorder="1" applyAlignment="1">
      <alignment horizontal="right" vertical="center"/>
    </xf>
    <xf numFmtId="0" fontId="95" fillId="0" borderId="10" xfId="67" applyFont="1" applyBorder="1" applyAlignment="1">
      <alignment vertical="center"/>
    </xf>
    <xf numFmtId="0" fontId="190" fillId="0" borderId="10" xfId="67" applyFont="1" applyBorder="1"/>
    <xf numFmtId="0" fontId="191" fillId="0" borderId="10" xfId="67" applyFont="1" applyBorder="1" applyAlignment="1">
      <alignment horizontal="center"/>
    </xf>
    <xf numFmtId="0" fontId="48" fillId="0" borderId="10" xfId="67" applyFont="1" applyBorder="1" applyAlignment="1">
      <alignment vertical="center" wrapText="1"/>
    </xf>
    <xf numFmtId="186" fontId="54" fillId="0" borderId="10" xfId="67" applyNumberFormat="1" applyFont="1" applyBorder="1" applyAlignment="1">
      <alignment vertical="center"/>
    </xf>
    <xf numFmtId="165" fontId="54" fillId="0" borderId="10" xfId="67" applyNumberFormat="1" applyFont="1" applyBorder="1" applyAlignment="1">
      <alignment vertical="center"/>
    </xf>
    <xf numFmtId="166" fontId="54" fillId="0" borderId="10" xfId="67" applyNumberFormat="1" applyFont="1" applyBorder="1" applyAlignment="1">
      <alignment vertical="center"/>
    </xf>
    <xf numFmtId="167" fontId="54" fillId="0" borderId="10" xfId="67" applyNumberFormat="1" applyFont="1" applyBorder="1" applyAlignment="1">
      <alignment vertical="center"/>
    </xf>
    <xf numFmtId="0" fontId="54" fillId="0" borderId="10" xfId="67" applyFont="1" applyBorder="1" applyAlignment="1">
      <alignment vertical="center"/>
    </xf>
    <xf numFmtId="0" fontId="95" fillId="34" borderId="10" xfId="67" applyFont="1" applyFill="1" applyBorder="1" applyAlignment="1">
      <alignment vertical="center" wrapText="1"/>
    </xf>
    <xf numFmtId="0" fontId="95" fillId="34" borderId="10" xfId="67" applyFont="1" applyFill="1" applyBorder="1" applyAlignment="1">
      <alignment horizontal="center" vertical="center" wrapText="1"/>
    </xf>
    <xf numFmtId="0" fontId="54" fillId="34" borderId="10" xfId="67" applyFont="1" applyFill="1" applyBorder="1" applyAlignment="1">
      <alignment vertical="center"/>
    </xf>
    <xf numFmtId="165" fontId="54" fillId="34" borderId="10" xfId="67" applyNumberFormat="1" applyFont="1" applyFill="1" applyBorder="1" applyAlignment="1">
      <alignment vertical="center"/>
    </xf>
    <xf numFmtId="0" fontId="144" fillId="34" borderId="10" xfId="67" applyFont="1" applyFill="1" applyBorder="1" applyAlignment="1">
      <alignment vertical="center" wrapText="1"/>
    </xf>
    <xf numFmtId="186" fontId="77" fillId="34" borderId="10" xfId="67" applyNumberFormat="1" applyFont="1" applyFill="1" applyBorder="1" applyAlignment="1">
      <alignment vertical="center"/>
    </xf>
    <xf numFmtId="165" fontId="77" fillId="34" borderId="10" xfId="67" applyNumberFormat="1" applyFont="1" applyFill="1" applyBorder="1" applyAlignment="1">
      <alignment vertical="center"/>
    </xf>
    <xf numFmtId="186" fontId="77" fillId="0" borderId="10" xfId="67" applyNumberFormat="1" applyFont="1" applyBorder="1" applyAlignment="1">
      <alignment vertical="center"/>
    </xf>
    <xf numFmtId="165" fontId="77" fillId="0" borderId="10" xfId="67" applyNumberFormat="1" applyFont="1" applyBorder="1" applyAlignment="1">
      <alignment vertical="center"/>
    </xf>
    <xf numFmtId="186" fontId="54" fillId="34" borderId="10" xfId="67" applyNumberFormat="1" applyFont="1" applyFill="1" applyBorder="1" applyAlignment="1">
      <alignment vertical="center"/>
    </xf>
    <xf numFmtId="0" fontId="192" fillId="0" borderId="10" xfId="67" applyFont="1" applyBorder="1" applyAlignment="1">
      <alignment vertical="center" wrapText="1"/>
    </xf>
    <xf numFmtId="0" fontId="77" fillId="0" borderId="10" xfId="67" applyFont="1" applyBorder="1" applyAlignment="1">
      <alignment vertical="center"/>
    </xf>
    <xf numFmtId="0" fontId="193" fillId="0" borderId="10" xfId="67" applyFont="1" applyBorder="1" applyAlignment="1">
      <alignment vertical="center" wrapText="1"/>
    </xf>
    <xf numFmtId="186" fontId="54" fillId="0" borderId="10" xfId="67" applyNumberFormat="1" applyFont="1" applyBorder="1" applyAlignment="1">
      <alignment vertical="center" wrapText="1"/>
    </xf>
    <xf numFmtId="165" fontId="54" fillId="0" borderId="10" xfId="67" applyNumberFormat="1" applyFont="1" applyBorder="1" applyAlignment="1">
      <alignment vertical="center" wrapText="1"/>
    </xf>
    <xf numFmtId="0" fontId="54" fillId="0" borderId="10" xfId="67" applyFont="1" applyBorder="1" applyAlignment="1">
      <alignment vertical="center" wrapText="1"/>
    </xf>
    <xf numFmtId="4" fontId="77" fillId="0" borderId="10" xfId="67" applyNumberFormat="1" applyFont="1" applyBorder="1" applyAlignment="1">
      <alignment vertical="center"/>
    </xf>
    <xf numFmtId="2" fontId="34" fillId="0" borderId="10" xfId="67" applyNumberFormat="1" applyFont="1" applyBorder="1" applyAlignment="1">
      <alignment vertical="center" wrapText="1"/>
    </xf>
    <xf numFmtId="2" fontId="192" fillId="0" borderId="10" xfId="67" applyNumberFormat="1" applyFont="1" applyBorder="1" applyAlignment="1">
      <alignment vertical="center" wrapText="1"/>
    </xf>
    <xf numFmtId="2" fontId="144" fillId="0" borderId="10" xfId="67" applyNumberFormat="1" applyFont="1" applyBorder="1" applyAlignment="1">
      <alignment vertical="center" wrapText="1"/>
    </xf>
    <xf numFmtId="2" fontId="67" fillId="0" borderId="0" xfId="67" applyNumberFormat="1" applyFont="1" applyAlignment="1">
      <alignment vertical="center" wrapText="1"/>
    </xf>
    <xf numFmtId="0" fontId="54" fillId="0" borderId="0" xfId="67" applyFont="1"/>
    <xf numFmtId="0" fontId="95" fillId="0" borderId="0" xfId="67" applyFont="1" applyAlignment="1">
      <alignment vertical="center" wrapText="1"/>
    </xf>
    <xf numFmtId="0" fontId="190" fillId="0" borderId="0" xfId="67" applyFont="1"/>
    <xf numFmtId="0" fontId="39" fillId="33" borderId="0" xfId="0" applyFont="1" applyFill="1" applyAlignment="1">
      <alignment horizontal="left"/>
    </xf>
    <xf numFmtId="0" fontId="40" fillId="33" borderId="0" xfId="0" applyFont="1" applyFill="1" applyAlignment="1">
      <alignment horizontal="center"/>
    </xf>
    <xf numFmtId="0" fontId="33" fillId="0" borderId="10" xfId="0" applyFont="1" applyBorder="1" applyAlignment="1" applyProtection="1">
      <alignment wrapText="1"/>
      <protection locked="0"/>
    </xf>
    <xf numFmtId="0" fontId="37" fillId="0" borderId="10" xfId="0" applyFont="1" applyBorder="1" applyAlignment="1">
      <alignment horizontal="left" vertical="center" wrapText="1" indent="1"/>
    </xf>
    <xf numFmtId="49" fontId="35" fillId="0" borderId="10" xfId="0" applyNumberFormat="1" applyFont="1" applyBorder="1" applyAlignment="1">
      <alignment wrapText="1"/>
    </xf>
    <xf numFmtId="0" fontId="33" fillId="0" borderId="0" xfId="0" applyFont="1" applyAlignment="1" applyProtection="1">
      <alignment horizontal="left" vertical="top" wrapText="1"/>
      <protection locked="0"/>
    </xf>
    <xf numFmtId="0" fontId="41" fillId="33" borderId="0" xfId="0" applyFont="1" applyFill="1" applyAlignment="1">
      <alignment horizontal="left"/>
    </xf>
    <xf numFmtId="0" fontId="34" fillId="0" borderId="0" xfId="0" applyFont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64" fillId="50" borderId="10" xfId="0" applyFont="1" applyFill="1" applyBorder="1" applyAlignment="1">
      <alignment horizontal="center" vertical="center" wrapText="1"/>
    </xf>
    <xf numFmtId="0" fontId="64" fillId="46" borderId="10" xfId="0" applyFont="1" applyFill="1" applyBorder="1" applyAlignment="1">
      <alignment horizontal="center" vertical="center" wrapText="1"/>
    </xf>
    <xf numFmtId="0" fontId="64" fillId="46" borderId="17" xfId="0" applyFont="1" applyFill="1" applyBorder="1" applyAlignment="1">
      <alignment horizontal="center" vertical="center" wrapText="1"/>
    </xf>
    <xf numFmtId="0" fontId="62" fillId="0" borderId="10" xfId="42" applyFont="1" applyBorder="1" applyAlignment="1">
      <alignment horizontal="center" vertical="center" wrapText="1"/>
    </xf>
    <xf numFmtId="0" fontId="64" fillId="50" borderId="15" xfId="0" applyFont="1" applyFill="1" applyBorder="1" applyAlignment="1">
      <alignment horizontal="center" vertical="center" wrapText="1"/>
    </xf>
    <xf numFmtId="0" fontId="64" fillId="50" borderId="16" xfId="0" applyFont="1" applyFill="1" applyBorder="1" applyAlignment="1">
      <alignment horizontal="center" vertical="center" wrapText="1"/>
    </xf>
    <xf numFmtId="0" fontId="64" fillId="37" borderId="10" xfId="0" applyFont="1" applyFill="1" applyBorder="1" applyAlignment="1">
      <alignment horizontal="center" vertical="center" wrapText="1"/>
    </xf>
    <xf numFmtId="0" fontId="64" fillId="50" borderId="17" xfId="0" applyFont="1" applyFill="1" applyBorder="1" applyAlignment="1">
      <alignment horizontal="center" vertical="center" wrapText="1"/>
    </xf>
    <xf numFmtId="0" fontId="112" fillId="0" borderId="0" xfId="0" applyFont="1" applyAlignment="1">
      <alignment horizontal="center" vertical="center" wrapText="1"/>
    </xf>
    <xf numFmtId="0" fontId="112" fillId="0" borderId="14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 vertical="center"/>
    </xf>
    <xf numFmtId="0" fontId="62" fillId="37" borderId="13" xfId="0" applyFont="1" applyFill="1" applyBorder="1" applyAlignment="1">
      <alignment horizontal="center" vertical="center"/>
    </xf>
    <xf numFmtId="0" fontId="62" fillId="37" borderId="28" xfId="0" applyFont="1" applyFill="1" applyBorder="1" applyAlignment="1">
      <alignment horizontal="center" vertical="center"/>
    </xf>
    <xf numFmtId="0" fontId="62" fillId="37" borderId="17" xfId="0" applyFont="1" applyFill="1" applyBorder="1" applyAlignment="1">
      <alignment horizontal="center" vertical="center"/>
    </xf>
    <xf numFmtId="0" fontId="62" fillId="37" borderId="13" xfId="0" applyFont="1" applyFill="1" applyBorder="1" applyAlignment="1">
      <alignment horizontal="left" vertical="center" wrapText="1"/>
    </xf>
    <xf numFmtId="0" fontId="62" fillId="37" borderId="28" xfId="0" applyFont="1" applyFill="1" applyBorder="1" applyAlignment="1">
      <alignment horizontal="left" vertical="center" wrapText="1"/>
    </xf>
    <xf numFmtId="0" fontId="62" fillId="37" borderId="17" xfId="0" applyFont="1" applyFill="1" applyBorder="1" applyAlignment="1">
      <alignment horizontal="left" vertical="center" wrapText="1"/>
    </xf>
    <xf numFmtId="4" fontId="62" fillId="37" borderId="13" xfId="0" applyNumberFormat="1" applyFont="1" applyFill="1" applyBorder="1" applyAlignment="1">
      <alignment horizontal="center" vertical="center"/>
    </xf>
    <xf numFmtId="4" fontId="62" fillId="37" borderId="28" xfId="0" applyNumberFormat="1" applyFont="1" applyFill="1" applyBorder="1" applyAlignment="1">
      <alignment horizontal="center" vertical="center"/>
    </xf>
    <xf numFmtId="4" fontId="62" fillId="37" borderId="17" xfId="0" applyNumberFormat="1" applyFont="1" applyFill="1" applyBorder="1" applyAlignment="1">
      <alignment horizontal="center" vertical="center"/>
    </xf>
    <xf numFmtId="0" fontId="62" fillId="37" borderId="13" xfId="0" applyFont="1" applyFill="1" applyBorder="1" applyAlignment="1">
      <alignment horizontal="center" vertical="center" wrapText="1"/>
    </xf>
    <xf numFmtId="0" fontId="62" fillId="37" borderId="28" xfId="0" applyFont="1" applyFill="1" applyBorder="1" applyAlignment="1">
      <alignment horizontal="center" vertical="center" wrapText="1"/>
    </xf>
    <xf numFmtId="0" fontId="62" fillId="37" borderId="17" xfId="0" applyFont="1" applyFill="1" applyBorder="1" applyAlignment="1">
      <alignment horizontal="center" vertical="center" wrapText="1"/>
    </xf>
    <xf numFmtId="3" fontId="62" fillId="37" borderId="13" xfId="0" applyNumberFormat="1" applyFont="1" applyFill="1" applyBorder="1" applyAlignment="1">
      <alignment horizontal="center" vertical="center"/>
    </xf>
    <xf numFmtId="3" fontId="62" fillId="37" borderId="28" xfId="0" applyNumberFormat="1" applyFont="1" applyFill="1" applyBorder="1" applyAlignment="1">
      <alignment horizontal="center" vertical="center"/>
    </xf>
    <xf numFmtId="3" fontId="62" fillId="37" borderId="17" xfId="0" applyNumberFormat="1" applyFont="1" applyFill="1" applyBorder="1" applyAlignment="1">
      <alignment horizontal="center" vertical="center"/>
    </xf>
    <xf numFmtId="165" fontId="64" fillId="50" borderId="15" xfId="0" applyNumberFormat="1" applyFont="1" applyFill="1" applyBorder="1" applyAlignment="1">
      <alignment horizontal="center" vertical="center" wrapText="1"/>
    </xf>
    <xf numFmtId="165" fontId="64" fillId="50" borderId="16" xfId="0" applyNumberFormat="1" applyFont="1" applyFill="1" applyBorder="1" applyAlignment="1">
      <alignment horizontal="center" vertical="center" wrapText="1"/>
    </xf>
    <xf numFmtId="165" fontId="64" fillId="50" borderId="12" xfId="0" applyNumberFormat="1" applyFont="1" applyFill="1" applyBorder="1" applyAlignment="1">
      <alignment horizontal="center" vertical="center" wrapText="1"/>
    </xf>
    <xf numFmtId="3" fontId="62" fillId="50" borderId="13" xfId="0" applyNumberFormat="1" applyFont="1" applyFill="1" applyBorder="1" applyAlignment="1">
      <alignment horizontal="center" vertical="center"/>
    </xf>
    <xf numFmtId="3" fontId="62" fillId="50" borderId="28" xfId="0" applyNumberFormat="1" applyFont="1" applyFill="1" applyBorder="1" applyAlignment="1">
      <alignment horizontal="center" vertical="center"/>
    </xf>
    <xf numFmtId="3" fontId="62" fillId="50" borderId="17" xfId="0" applyNumberFormat="1" applyFont="1" applyFill="1" applyBorder="1" applyAlignment="1">
      <alignment horizontal="center" vertical="center"/>
    </xf>
    <xf numFmtId="165" fontId="62" fillId="50" borderId="13" xfId="0" applyNumberFormat="1" applyFont="1" applyFill="1" applyBorder="1" applyAlignment="1">
      <alignment horizontal="center" vertical="center" wrapText="1"/>
    </xf>
    <xf numFmtId="165" fontId="62" fillId="50" borderId="28" xfId="0" applyNumberFormat="1" applyFont="1" applyFill="1" applyBorder="1" applyAlignment="1">
      <alignment horizontal="center" vertical="center" wrapText="1"/>
    </xf>
    <xf numFmtId="165" fontId="62" fillId="50" borderId="17" xfId="0" applyNumberFormat="1" applyFont="1" applyFill="1" applyBorder="1" applyAlignment="1">
      <alignment horizontal="center" vertical="center" wrapText="1"/>
    </xf>
    <xf numFmtId="165" fontId="62" fillId="50" borderId="28" xfId="0" applyNumberFormat="1" applyFont="1" applyFill="1" applyBorder="1" applyAlignment="1">
      <alignment horizontal="left" vertical="center" wrapText="1"/>
    </xf>
    <xf numFmtId="165" fontId="62" fillId="50" borderId="17" xfId="0" applyNumberFormat="1" applyFont="1" applyFill="1" applyBorder="1" applyAlignment="1">
      <alignment horizontal="left" vertical="center" wrapText="1"/>
    </xf>
    <xf numFmtId="165" fontId="62" fillId="37" borderId="13" xfId="0" applyNumberFormat="1" applyFont="1" applyFill="1" applyBorder="1" applyAlignment="1">
      <alignment horizontal="center" vertical="center"/>
    </xf>
    <xf numFmtId="165" fontId="62" fillId="37" borderId="28" xfId="0" applyNumberFormat="1" applyFont="1" applyFill="1" applyBorder="1" applyAlignment="1">
      <alignment horizontal="center" vertical="center"/>
    </xf>
    <xf numFmtId="165" fontId="62" fillId="37" borderId="17" xfId="0" applyNumberFormat="1" applyFont="1" applyFill="1" applyBorder="1" applyAlignment="1">
      <alignment horizontal="center" vertical="center"/>
    </xf>
    <xf numFmtId="165" fontId="62" fillId="50" borderId="13" xfId="0" applyNumberFormat="1" applyFont="1" applyFill="1" applyBorder="1" applyAlignment="1">
      <alignment horizontal="center" vertical="center"/>
    </xf>
    <xf numFmtId="165" fontId="62" fillId="50" borderId="28" xfId="0" applyNumberFormat="1" applyFont="1" applyFill="1" applyBorder="1" applyAlignment="1">
      <alignment horizontal="center" vertical="center"/>
    </xf>
    <xf numFmtId="165" fontId="62" fillId="50" borderId="17" xfId="0" applyNumberFormat="1" applyFont="1" applyFill="1" applyBorder="1" applyAlignment="1">
      <alignment horizontal="center" vertical="center"/>
    </xf>
    <xf numFmtId="165" fontId="62" fillId="50" borderId="13" xfId="0" applyNumberFormat="1" applyFont="1" applyFill="1" applyBorder="1" applyAlignment="1">
      <alignment horizontal="left" vertical="center" wrapText="1"/>
    </xf>
    <xf numFmtId="0" fontId="58" fillId="39" borderId="10" xfId="0" applyFont="1" applyFill="1" applyBorder="1" applyAlignment="1">
      <alignment horizontal="center" vertical="center" wrapText="1" readingOrder="1"/>
    </xf>
    <xf numFmtId="0" fontId="34" fillId="39" borderId="10" xfId="0" applyFont="1" applyFill="1" applyBorder="1" applyAlignment="1">
      <alignment horizontal="center" vertical="center"/>
    </xf>
    <xf numFmtId="0" fontId="88" fillId="0" borderId="0" xfId="0" applyFont="1" applyAlignment="1">
      <alignment horizontal="center" vertical="center" wrapText="1" readingOrder="1"/>
    </xf>
    <xf numFmtId="49" fontId="0" fillId="0" borderId="13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 readingOrder="1"/>
    </xf>
    <xf numFmtId="0" fontId="105" fillId="0" borderId="0" xfId="0" applyFont="1" applyAlignment="1">
      <alignment horizontal="center"/>
    </xf>
    <xf numFmtId="0" fontId="105" fillId="0" borderId="42" xfId="0" applyFont="1" applyBorder="1" applyAlignment="1">
      <alignment horizontal="center" vertical="center"/>
    </xf>
    <xf numFmtId="0" fontId="105" fillId="0" borderId="37" xfId="0" applyFont="1" applyBorder="1" applyAlignment="1">
      <alignment horizontal="center" vertical="center"/>
    </xf>
    <xf numFmtId="0" fontId="105" fillId="0" borderId="38" xfId="0" applyFont="1" applyBorder="1" applyAlignment="1">
      <alignment horizontal="center" vertical="center"/>
    </xf>
    <xf numFmtId="0" fontId="106" fillId="0" borderId="41" xfId="42" applyFont="1" applyBorder="1" applyAlignment="1">
      <alignment horizontal="center" vertical="center" wrapText="1"/>
    </xf>
    <xf numFmtId="0" fontId="106" fillId="0" borderId="32" xfId="42" applyFont="1" applyBorder="1" applyAlignment="1">
      <alignment horizontal="center" vertical="center" wrapText="1"/>
    </xf>
    <xf numFmtId="0" fontId="106" fillId="0" borderId="39" xfId="42" applyFont="1" applyBorder="1" applyAlignment="1">
      <alignment horizontal="center" vertical="center" wrapText="1"/>
    </xf>
    <xf numFmtId="0" fontId="106" fillId="0" borderId="10" xfId="42" applyFont="1" applyBorder="1" applyAlignment="1">
      <alignment horizontal="center" vertical="center" wrapText="1"/>
    </xf>
    <xf numFmtId="0" fontId="107" fillId="0" borderId="39" xfId="0" applyFont="1" applyBorder="1" applyAlignment="1">
      <alignment horizontal="center" vertical="center" wrapText="1"/>
    </xf>
    <xf numFmtId="0" fontId="107" fillId="0" borderId="42" xfId="0" applyFont="1" applyBorder="1" applyAlignment="1">
      <alignment horizontal="center" vertical="center" wrapText="1"/>
    </xf>
    <xf numFmtId="0" fontId="107" fillId="0" borderId="49" xfId="0" applyFont="1" applyBorder="1" applyAlignment="1">
      <alignment horizontal="center" vertical="center" wrapText="1"/>
    </xf>
    <xf numFmtId="0" fontId="107" fillId="0" borderId="10" xfId="0" applyFont="1" applyBorder="1" applyAlignment="1">
      <alignment horizontal="center" vertical="center"/>
    </xf>
    <xf numFmtId="0" fontId="107" fillId="0" borderId="10" xfId="0" applyFont="1" applyBorder="1" applyAlignment="1">
      <alignment horizontal="center" vertical="center" wrapText="1"/>
    </xf>
    <xf numFmtId="0" fontId="107" fillId="0" borderId="13" xfId="0" applyFont="1" applyBorder="1" applyAlignment="1">
      <alignment horizontal="center" vertical="center" wrapText="1"/>
    </xf>
    <xf numFmtId="0" fontId="107" fillId="0" borderId="17" xfId="0" applyFont="1" applyBorder="1" applyAlignment="1">
      <alignment horizontal="center" vertical="center" wrapText="1"/>
    </xf>
    <xf numFmtId="0" fontId="107" fillId="0" borderId="15" xfId="0" applyFont="1" applyBorder="1" applyAlignment="1">
      <alignment horizontal="center" vertical="center" wrapText="1"/>
    </xf>
    <xf numFmtId="0" fontId="107" fillId="0" borderId="12" xfId="0" applyFont="1" applyBorder="1" applyAlignment="1">
      <alignment horizontal="center" vertical="center" wrapText="1"/>
    </xf>
    <xf numFmtId="0" fontId="64" fillId="56" borderId="15" xfId="0" applyFont="1" applyFill="1" applyBorder="1" applyAlignment="1">
      <alignment horizontal="center" vertical="center" wrapText="1"/>
    </xf>
    <xf numFmtId="0" fontId="64" fillId="56" borderId="16" xfId="0" applyFont="1" applyFill="1" applyBorder="1" applyAlignment="1">
      <alignment horizontal="center" vertical="center" wrapText="1"/>
    </xf>
    <xf numFmtId="0" fontId="64" fillId="56" borderId="12" xfId="0" applyFont="1" applyFill="1" applyBorder="1" applyAlignment="1">
      <alignment horizontal="center" vertical="center" wrapText="1"/>
    </xf>
    <xf numFmtId="0" fontId="64" fillId="56" borderId="10" xfId="0" applyFont="1" applyFill="1" applyBorder="1" applyAlignment="1">
      <alignment horizontal="center" vertical="center" wrapText="1"/>
    </xf>
    <xf numFmtId="0" fontId="64" fillId="42" borderId="13" xfId="0" applyFont="1" applyFill="1" applyBorder="1" applyAlignment="1">
      <alignment horizontal="center" vertical="center" wrapText="1"/>
    </xf>
    <xf numFmtId="0" fontId="64" fillId="42" borderId="17" xfId="0" applyFont="1" applyFill="1" applyBorder="1" applyAlignment="1">
      <alignment horizontal="center" vertical="center" wrapText="1"/>
    </xf>
    <xf numFmtId="0" fontId="172" fillId="42" borderId="10" xfId="0" applyFont="1" applyFill="1" applyBorder="1" applyAlignment="1">
      <alignment horizontal="center" vertical="center" wrapText="1"/>
    </xf>
    <xf numFmtId="0" fontId="174" fillId="47" borderId="13" xfId="0" applyFont="1" applyFill="1" applyBorder="1" applyAlignment="1">
      <alignment horizontal="center" vertical="center" wrapText="1"/>
    </xf>
    <xf numFmtId="0" fontId="174" fillId="47" borderId="17" xfId="0" applyFont="1" applyFill="1" applyBorder="1" applyAlignment="1">
      <alignment horizontal="center" vertical="center" wrapText="1"/>
    </xf>
    <xf numFmtId="0" fontId="175" fillId="47" borderId="10" xfId="0" applyFont="1" applyFill="1" applyBorder="1" applyAlignment="1">
      <alignment horizontal="center" vertical="center" wrapText="1"/>
    </xf>
    <xf numFmtId="0" fontId="64" fillId="56" borderId="46" xfId="0" applyFont="1" applyFill="1" applyBorder="1" applyAlignment="1">
      <alignment horizontal="center" vertical="center" wrapText="1"/>
    </xf>
    <xf numFmtId="0" fontId="64" fillId="56" borderId="29" xfId="0" applyFont="1" applyFill="1" applyBorder="1" applyAlignment="1">
      <alignment horizontal="center" vertical="center" wrapText="1"/>
    </xf>
    <xf numFmtId="0" fontId="64" fillId="46" borderId="13" xfId="0" applyFont="1" applyFill="1" applyBorder="1" applyAlignment="1">
      <alignment horizontal="center" vertical="center" wrapText="1"/>
    </xf>
    <xf numFmtId="0" fontId="64" fillId="49" borderId="10" xfId="0" applyFont="1" applyFill="1" applyBorder="1" applyAlignment="1">
      <alignment horizontal="center" vertical="center" wrapText="1"/>
    </xf>
    <xf numFmtId="0" fontId="65" fillId="49" borderId="10" xfId="0" applyFont="1" applyFill="1" applyBorder="1" applyAlignment="1">
      <alignment horizontal="center" vertical="center" wrapText="1"/>
    </xf>
    <xf numFmtId="0" fontId="64" fillId="36" borderId="13" xfId="0" applyFont="1" applyFill="1" applyBorder="1" applyAlignment="1">
      <alignment horizontal="center" vertical="center" wrapText="1"/>
    </xf>
    <xf numFmtId="0" fontId="64" fillId="36" borderId="17" xfId="0" applyFont="1" applyFill="1" applyBorder="1" applyAlignment="1">
      <alignment horizontal="center" vertical="center" wrapText="1"/>
    </xf>
    <xf numFmtId="0" fontId="172" fillId="36" borderId="46" xfId="0" applyFont="1" applyFill="1" applyBorder="1" applyAlignment="1">
      <alignment horizontal="center" vertical="center" wrapText="1"/>
    </xf>
    <xf numFmtId="0" fontId="172" fillId="36" borderId="47" xfId="0" applyFont="1" applyFill="1" applyBorder="1" applyAlignment="1">
      <alignment horizontal="center" vertical="center" wrapText="1"/>
    </xf>
    <xf numFmtId="0" fontId="172" fillId="36" borderId="10" xfId="0" applyFont="1" applyFill="1" applyBorder="1" applyAlignment="1">
      <alignment horizontal="center" vertical="center" wrapText="1"/>
    </xf>
    <xf numFmtId="0" fontId="69" fillId="0" borderId="15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56" fillId="0" borderId="10" xfId="0" applyFont="1" applyBorder="1" applyAlignment="1">
      <alignment horizontal="center" vertical="center"/>
    </xf>
    <xf numFmtId="0" fontId="62" fillId="0" borderId="10" xfId="77" applyFont="1" applyBorder="1" applyAlignment="1">
      <alignment horizontal="center" vertical="center" wrapText="1"/>
    </xf>
    <xf numFmtId="0" fontId="62" fillId="50" borderId="10" xfId="0" applyFont="1" applyFill="1" applyBorder="1" applyAlignment="1">
      <alignment horizontal="center" vertical="center" wrapText="1"/>
    </xf>
    <xf numFmtId="0" fontId="62" fillId="46" borderId="15" xfId="0" applyFont="1" applyFill="1" applyBorder="1" applyAlignment="1">
      <alignment horizontal="center" vertical="center" wrapText="1"/>
    </xf>
    <xf numFmtId="0" fontId="62" fillId="46" borderId="16" xfId="0" applyFont="1" applyFill="1" applyBorder="1" applyAlignment="1">
      <alignment horizontal="center" vertical="center" wrapText="1"/>
    </xf>
    <xf numFmtId="0" fontId="62" fillId="46" borderId="12" xfId="0" applyFont="1" applyFill="1" applyBorder="1" applyAlignment="1">
      <alignment horizontal="center" vertical="center" wrapText="1"/>
    </xf>
    <xf numFmtId="0" fontId="62" fillId="49" borderId="10" xfId="0" applyFont="1" applyFill="1" applyBorder="1" applyAlignment="1">
      <alignment horizontal="center" vertical="center" wrapText="1"/>
    </xf>
    <xf numFmtId="0" fontId="62" fillId="47" borderId="15" xfId="0" applyFont="1" applyFill="1" applyBorder="1" applyAlignment="1">
      <alignment horizontal="center" vertical="center" wrapText="1"/>
    </xf>
    <xf numFmtId="0" fontId="62" fillId="47" borderId="16" xfId="0" applyFont="1" applyFill="1" applyBorder="1" applyAlignment="1">
      <alignment horizontal="center" vertical="center" wrapText="1"/>
    </xf>
    <xf numFmtId="0" fontId="62" fillId="47" borderId="12" xfId="0" applyFont="1" applyFill="1" applyBorder="1" applyAlignment="1">
      <alignment horizontal="center" vertical="center" wrapText="1"/>
    </xf>
    <xf numFmtId="0" fontId="64" fillId="56" borderId="27" xfId="0" applyFont="1" applyFill="1" applyBorder="1" applyAlignment="1">
      <alignment horizontal="center" vertical="center" wrapText="1"/>
    </xf>
    <xf numFmtId="0" fontId="64" fillId="56" borderId="47" xfId="0" applyFont="1" applyFill="1" applyBorder="1" applyAlignment="1">
      <alignment horizontal="center" vertical="center" wrapText="1"/>
    </xf>
    <xf numFmtId="0" fontId="64" fillId="51" borderId="13" xfId="0" applyFont="1" applyFill="1" applyBorder="1" applyAlignment="1">
      <alignment horizontal="center" vertical="center" wrapText="1"/>
    </xf>
    <xf numFmtId="0" fontId="64" fillId="51" borderId="17" xfId="0" applyFont="1" applyFill="1" applyBorder="1" applyAlignment="1">
      <alignment horizontal="center" vertical="center" wrapText="1"/>
    </xf>
    <xf numFmtId="0" fontId="105" fillId="0" borderId="0" xfId="55" applyFont="1" applyAlignment="1">
      <alignment horizontal="center"/>
    </xf>
    <xf numFmtId="0" fontId="81" fillId="0" borderId="41" xfId="75" applyFont="1" applyBorder="1" applyAlignment="1">
      <alignment horizontal="center" vertical="center" wrapText="1"/>
    </xf>
    <xf numFmtId="0" fontId="81" fillId="0" borderId="32" xfId="75" applyFont="1" applyBorder="1" applyAlignment="1">
      <alignment horizontal="center" vertical="center" wrapText="1"/>
    </xf>
    <xf numFmtId="0" fontId="81" fillId="0" borderId="39" xfId="75" applyFont="1" applyBorder="1" applyAlignment="1">
      <alignment horizontal="center" vertical="center" wrapText="1"/>
    </xf>
    <xf numFmtId="0" fontId="81" fillId="0" borderId="10" xfId="75" applyFont="1" applyBorder="1" applyAlignment="1">
      <alignment horizontal="center" vertical="center" wrapText="1"/>
    </xf>
    <xf numFmtId="0" fontId="105" fillId="0" borderId="15" xfId="55" applyFont="1" applyBorder="1" applyAlignment="1">
      <alignment horizontal="center" vertical="center" wrapText="1"/>
    </xf>
    <xf numFmtId="0" fontId="105" fillId="0" borderId="16" xfId="55" applyFont="1" applyBorder="1" applyAlignment="1">
      <alignment horizontal="center" vertical="center" wrapText="1"/>
    </xf>
    <xf numFmtId="0" fontId="105" fillId="0" borderId="10" xfId="55" applyFont="1" applyBorder="1" applyAlignment="1">
      <alignment horizontal="center" vertical="center" wrapText="1"/>
    </xf>
    <xf numFmtId="0" fontId="105" fillId="0" borderId="12" xfId="55" applyFont="1" applyBorder="1" applyAlignment="1">
      <alignment horizontal="center" vertical="center" wrapText="1"/>
    </xf>
    <xf numFmtId="0" fontId="105" fillId="0" borderId="55" xfId="55" applyFont="1" applyBorder="1" applyAlignment="1">
      <alignment horizontal="center" vertical="center" wrapText="1"/>
    </xf>
    <xf numFmtId="0" fontId="105" fillId="0" borderId="28" xfId="55" applyFont="1" applyBorder="1" applyAlignment="1">
      <alignment horizontal="center" vertical="center" wrapText="1"/>
    </xf>
    <xf numFmtId="0" fontId="105" fillId="0" borderId="17" xfId="55" applyFont="1" applyBorder="1" applyAlignment="1">
      <alignment horizontal="center" vertical="center" wrapText="1"/>
    </xf>
    <xf numFmtId="0" fontId="105" fillId="0" borderId="39" xfId="55" applyFont="1" applyBorder="1" applyAlignment="1">
      <alignment horizontal="center" vertical="center" wrapText="1"/>
    </xf>
    <xf numFmtId="0" fontId="105" fillId="0" borderId="39" xfId="55" applyFont="1" applyBorder="1" applyAlignment="1">
      <alignment horizontal="center" vertical="center"/>
    </xf>
    <xf numFmtId="0" fontId="105" fillId="0" borderId="40" xfId="55" applyFont="1" applyBorder="1" applyAlignment="1">
      <alignment horizontal="center" vertical="center"/>
    </xf>
    <xf numFmtId="0" fontId="105" fillId="0" borderId="10" xfId="55" applyFont="1" applyBorder="1" applyAlignment="1">
      <alignment horizontal="center" vertical="center"/>
    </xf>
    <xf numFmtId="0" fontId="105" fillId="36" borderId="10" xfId="55" applyFont="1" applyFill="1" applyBorder="1" applyAlignment="1">
      <alignment horizontal="center" vertical="center" wrapText="1"/>
    </xf>
    <xf numFmtId="0" fontId="105" fillId="36" borderId="13" xfId="55" applyFont="1" applyFill="1" applyBorder="1" applyAlignment="1">
      <alignment horizontal="center" vertical="center" wrapText="1"/>
    </xf>
    <xf numFmtId="0" fontId="105" fillId="36" borderId="17" xfId="55" applyFont="1" applyFill="1" applyBorder="1" applyAlignment="1">
      <alignment horizontal="center" vertical="center" wrapText="1"/>
    </xf>
    <xf numFmtId="0" fontId="105" fillId="35" borderId="13" xfId="55" applyFont="1" applyFill="1" applyBorder="1" applyAlignment="1">
      <alignment horizontal="center" vertical="center" wrapText="1"/>
    </xf>
    <xf numFmtId="0" fontId="105" fillId="35" borderId="17" xfId="55" applyFont="1" applyFill="1" applyBorder="1" applyAlignment="1">
      <alignment horizontal="center" vertical="center" wrapText="1"/>
    </xf>
    <xf numFmtId="0" fontId="105" fillId="0" borderId="33" xfId="55" applyFont="1" applyBorder="1" applyAlignment="1">
      <alignment horizontal="center" vertical="center" wrapText="1"/>
    </xf>
    <xf numFmtId="0" fontId="105" fillId="45" borderId="10" xfId="55" applyFont="1" applyFill="1" applyBorder="1" applyAlignment="1">
      <alignment horizontal="center" vertical="center" wrapText="1"/>
    </xf>
    <xf numFmtId="0" fontId="105" fillId="35" borderId="10" xfId="55" applyFont="1" applyFill="1" applyBorder="1" applyAlignment="1">
      <alignment horizontal="center" vertical="center" wrapText="1"/>
    </xf>
    <xf numFmtId="0" fontId="105" fillId="0" borderId="13" xfId="55" applyFont="1" applyBorder="1" applyAlignment="1">
      <alignment horizontal="center" vertical="center" wrapText="1"/>
    </xf>
    <xf numFmtId="0" fontId="105" fillId="0" borderId="17" xfId="55" applyFont="1" applyBorder="1" applyAlignment="1">
      <alignment horizontal="center" vertical="center"/>
    </xf>
    <xf numFmtId="0" fontId="105" fillId="0" borderId="13" xfId="55" applyFont="1" applyBorder="1" applyAlignment="1">
      <alignment horizontal="center" vertical="center"/>
    </xf>
    <xf numFmtId="0" fontId="105" fillId="47" borderId="13" xfId="55" applyFont="1" applyFill="1" applyBorder="1" applyAlignment="1">
      <alignment horizontal="center" vertical="center" wrapText="1"/>
    </xf>
    <xf numFmtId="0" fontId="105" fillId="47" borderId="17" xfId="55" applyFont="1" applyFill="1" applyBorder="1" applyAlignment="1">
      <alignment horizontal="center" vertical="center" wrapText="1"/>
    </xf>
    <xf numFmtId="0" fontId="105" fillId="47" borderId="10" xfId="55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124" fillId="0" borderId="0" xfId="0" applyFont="1" applyAlignment="1">
      <alignment horizontal="center"/>
    </xf>
    <xf numFmtId="0" fontId="124" fillId="56" borderId="10" xfId="0" applyFont="1" applyFill="1" applyBorder="1" applyAlignment="1">
      <alignment horizontal="center" vertical="center"/>
    </xf>
    <xf numFmtId="0" fontId="124" fillId="56" borderId="10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13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0" fontId="84" fillId="0" borderId="15" xfId="0" applyFont="1" applyBorder="1" applyAlignment="1">
      <alignment horizontal="center"/>
    </xf>
    <xf numFmtId="0" fontId="84" fillId="0" borderId="16" xfId="0" applyFont="1" applyBorder="1" applyAlignment="1">
      <alignment horizontal="center"/>
    </xf>
    <xf numFmtId="0" fontId="84" fillId="0" borderId="12" xfId="0" applyFont="1" applyBorder="1" applyAlignment="1">
      <alignment horizontal="center"/>
    </xf>
    <xf numFmtId="185" fontId="124" fillId="0" borderId="46" xfId="0" applyNumberFormat="1" applyFont="1" applyBorder="1" applyAlignment="1">
      <alignment horizontal="center" vertical="center"/>
    </xf>
    <xf numFmtId="185" fontId="124" fillId="0" borderId="27" xfId="0" applyNumberFormat="1" applyFont="1" applyBorder="1" applyAlignment="1">
      <alignment horizontal="center" vertical="center"/>
    </xf>
    <xf numFmtId="185" fontId="124" fillId="0" borderId="47" xfId="0" applyNumberFormat="1" applyFont="1" applyBorder="1" applyAlignment="1">
      <alignment horizontal="center" vertical="center"/>
    </xf>
    <xf numFmtId="185" fontId="124" fillId="0" borderId="29" xfId="0" applyNumberFormat="1" applyFont="1" applyBorder="1" applyAlignment="1">
      <alignment horizontal="center" vertical="center"/>
    </xf>
    <xf numFmtId="185" fontId="124" fillId="0" borderId="14" xfId="0" applyNumberFormat="1" applyFont="1" applyBorder="1" applyAlignment="1">
      <alignment horizontal="center" vertical="center"/>
    </xf>
    <xf numFmtId="185" fontId="124" fillId="0" borderId="31" xfId="0" applyNumberFormat="1" applyFont="1" applyBorder="1" applyAlignment="1">
      <alignment horizontal="center" vertical="center"/>
    </xf>
    <xf numFmtId="0" fontId="61" fillId="0" borderId="15" xfId="0" applyFont="1" applyBorder="1" applyAlignment="1">
      <alignment horizontal="center" wrapText="1"/>
    </xf>
    <xf numFmtId="0" fontId="61" fillId="0" borderId="16" xfId="0" applyFont="1" applyBorder="1" applyAlignment="1">
      <alignment horizontal="center" wrapText="1"/>
    </xf>
    <xf numFmtId="0" fontId="61" fillId="0" borderId="12" xfId="0" applyFont="1" applyBorder="1" applyAlignment="1">
      <alignment horizontal="center" wrapText="1"/>
    </xf>
    <xf numFmtId="0" fontId="125" fillId="0" borderId="0" xfId="0" applyFont="1" applyAlignment="1">
      <alignment horizontal="center"/>
    </xf>
    <xf numFmtId="0" fontId="43" fillId="0" borderId="10" xfId="42" applyFont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124" fillId="0" borderId="46" xfId="0" applyFont="1" applyBorder="1" applyAlignment="1">
      <alignment horizontal="center" vertical="center"/>
    </xf>
    <xf numFmtId="0" fontId="124" fillId="0" borderId="27" xfId="0" applyFont="1" applyBorder="1" applyAlignment="1">
      <alignment horizontal="center" vertical="center"/>
    </xf>
    <xf numFmtId="0" fontId="124" fillId="0" borderId="47" xfId="0" applyFont="1" applyBorder="1" applyAlignment="1">
      <alignment horizontal="center" vertical="center"/>
    </xf>
    <xf numFmtId="0" fontId="124" fillId="0" borderId="29" xfId="0" applyFont="1" applyBorder="1" applyAlignment="1">
      <alignment horizontal="center" vertical="center"/>
    </xf>
    <xf numFmtId="0" fontId="124" fillId="0" borderId="14" xfId="0" applyFont="1" applyBorder="1" applyAlignment="1">
      <alignment horizontal="center" vertical="center"/>
    </xf>
    <xf numFmtId="0" fontId="124" fillId="0" borderId="31" xfId="0" applyFont="1" applyBorder="1" applyAlignment="1">
      <alignment horizontal="center" vertical="center"/>
    </xf>
    <xf numFmtId="0" fontId="95" fillId="0" borderId="0" xfId="67" applyFont="1" applyAlignment="1">
      <alignment horizontal="left" vertical="center" wrapText="1"/>
    </xf>
    <xf numFmtId="0" fontId="190" fillId="0" borderId="0" xfId="67" applyFont="1" applyAlignment="1">
      <alignment horizontal="left" vertical="center" wrapText="1"/>
    </xf>
    <xf numFmtId="0" fontId="9" fillId="0" borderId="0" xfId="67" applyAlignment="1">
      <alignment horizontal="center" vertical="top" wrapText="1"/>
    </xf>
    <xf numFmtId="0" fontId="181" fillId="0" borderId="0" xfId="67" applyFont="1" applyAlignment="1">
      <alignment horizontal="justify" vertical="center"/>
    </xf>
    <xf numFmtId="0" fontId="95" fillId="0" borderId="0" xfId="67" applyFont="1" applyAlignment="1">
      <alignment vertical="center" wrapText="1"/>
    </xf>
    <xf numFmtId="0" fontId="190" fillId="0" borderId="0" xfId="67" applyFont="1" applyAlignment="1">
      <alignment vertical="center" wrapText="1"/>
    </xf>
    <xf numFmtId="0" fontId="181" fillId="0" borderId="0" xfId="67" applyFont="1" applyAlignment="1">
      <alignment vertical="center" wrapText="1"/>
    </xf>
    <xf numFmtId="0" fontId="9" fillId="46" borderId="0" xfId="67" applyFill="1" applyAlignment="1">
      <alignment wrapText="1"/>
    </xf>
    <xf numFmtId="0" fontId="9" fillId="0" borderId="0" xfId="67" applyAlignment="1">
      <alignment wrapText="1"/>
    </xf>
    <xf numFmtId="0" fontId="44" fillId="0" borderId="14" xfId="67" applyFont="1" applyBorder="1" applyAlignment="1">
      <alignment horizontal="center" vertical="center" wrapText="1"/>
    </xf>
    <xf numFmtId="0" fontId="9" fillId="39" borderId="0" xfId="67" applyFill="1" applyAlignment="1">
      <alignment wrapText="1"/>
    </xf>
    <xf numFmtId="0" fontId="9" fillId="61" borderId="0" xfId="67" applyFill="1" applyAlignment="1">
      <alignment horizontal="center" vertical="center" wrapText="1"/>
    </xf>
    <xf numFmtId="0" fontId="43" fillId="0" borderId="10" xfId="67" applyFont="1" applyBorder="1" applyAlignment="1">
      <alignment horizontal="center" vertical="center" wrapText="1"/>
    </xf>
    <xf numFmtId="0" fontId="94" fillId="0" borderId="10" xfId="67" applyFont="1" applyBorder="1" applyAlignment="1">
      <alignment horizontal="center" vertical="center" wrapText="1"/>
    </xf>
    <xf numFmtId="0" fontId="67" fillId="0" borderId="10" xfId="67" applyFont="1" applyBorder="1" applyAlignment="1">
      <alignment horizontal="center" vertical="center" wrapText="1"/>
    </xf>
    <xf numFmtId="0" fontId="44" fillId="0" borderId="10" xfId="67" applyFont="1" applyBorder="1" applyAlignment="1">
      <alignment horizontal="center" vertical="center"/>
    </xf>
    <xf numFmtId="0" fontId="184" fillId="0" borderId="0" xfId="80" applyFont="1" applyAlignment="1">
      <alignment horizontal="left" wrapText="1"/>
    </xf>
    <xf numFmtId="3" fontId="107" fillId="48" borderId="10" xfId="80" applyNumberFormat="1" applyFont="1" applyFill="1" applyBorder="1" applyAlignment="1">
      <alignment horizontal="center" vertical="center" wrapText="1"/>
    </xf>
    <xf numFmtId="0" fontId="107" fillId="48" borderId="10" xfId="80" applyFont="1" applyFill="1" applyBorder="1" applyAlignment="1">
      <alignment horizontal="center" vertical="center" wrapText="1"/>
    </xf>
    <xf numFmtId="0" fontId="182" fillId="0" borderId="0" xfId="80" applyFont="1" applyAlignment="1">
      <alignment horizontal="center"/>
    </xf>
    <xf numFmtId="0" fontId="107" fillId="50" borderId="10" xfId="94" applyFont="1" applyFill="1" applyBorder="1" applyAlignment="1">
      <alignment horizontal="center" vertical="center" wrapText="1"/>
    </xf>
    <xf numFmtId="0" fontId="182" fillId="50" borderId="15" xfId="80" applyFont="1" applyFill="1" applyBorder="1" applyAlignment="1">
      <alignment horizontal="center" vertical="center"/>
    </xf>
    <xf numFmtId="0" fontId="182" fillId="50" borderId="12" xfId="80" applyFont="1" applyFill="1" applyBorder="1" applyAlignment="1">
      <alignment horizontal="center" vertical="center"/>
    </xf>
    <xf numFmtId="0" fontId="182" fillId="48" borderId="10" xfId="80" applyFont="1" applyFill="1" applyBorder="1" applyAlignment="1">
      <alignment horizontal="center"/>
    </xf>
    <xf numFmtId="0" fontId="182" fillId="48" borderId="10" xfId="80" applyFont="1" applyFill="1" applyBorder="1" applyAlignment="1">
      <alignment horizontal="center" vertical="center" wrapText="1"/>
    </xf>
    <xf numFmtId="0" fontId="182" fillId="48" borderId="15" xfId="80" applyFont="1" applyFill="1" applyBorder="1" applyAlignment="1">
      <alignment horizontal="center"/>
    </xf>
    <xf numFmtId="0" fontId="182" fillId="48" borderId="16" xfId="80" applyFont="1" applyFill="1" applyBorder="1" applyAlignment="1">
      <alignment horizontal="center"/>
    </xf>
    <xf numFmtId="0" fontId="182" fillId="48" borderId="12" xfId="80" applyFont="1" applyFill="1" applyBorder="1" applyAlignment="1">
      <alignment horizontal="center"/>
    </xf>
    <xf numFmtId="0" fontId="107" fillId="50" borderId="15" xfId="80" applyFont="1" applyFill="1" applyBorder="1" applyAlignment="1">
      <alignment horizontal="center" vertical="center" wrapText="1"/>
    </xf>
    <xf numFmtId="0" fontId="107" fillId="50" borderId="12" xfId="80" applyFont="1" applyFill="1" applyBorder="1" applyAlignment="1">
      <alignment horizontal="center" vertical="center" wrapText="1"/>
    </xf>
    <xf numFmtId="0" fontId="182" fillId="50" borderId="13" xfId="80" applyFont="1" applyFill="1" applyBorder="1" applyAlignment="1">
      <alignment horizontal="center" vertical="center" wrapText="1"/>
    </xf>
    <xf numFmtId="0" fontId="182" fillId="50" borderId="17" xfId="80" applyFont="1" applyFill="1" applyBorder="1" applyAlignment="1">
      <alignment horizontal="center" vertical="center" wrapText="1"/>
    </xf>
    <xf numFmtId="0" fontId="43" fillId="0" borderId="10" xfId="94" applyFont="1" applyBorder="1" applyAlignment="1">
      <alignment horizontal="center" vertical="center" wrapText="1"/>
    </xf>
    <xf numFmtId="0" fontId="1" fillId="0" borderId="10" xfId="94" applyBorder="1" applyAlignment="1">
      <alignment horizontal="center"/>
    </xf>
    <xf numFmtId="0" fontId="107" fillId="40" borderId="57" xfId="0" applyFont="1" applyFill="1" applyBorder="1" applyAlignment="1">
      <alignment horizontal="center" vertical="center" wrapText="1"/>
    </xf>
    <xf numFmtId="0" fontId="107" fillId="40" borderId="58" xfId="0" applyFont="1" applyFill="1" applyBorder="1" applyAlignment="1">
      <alignment horizontal="center" vertical="center" wrapText="1"/>
    </xf>
    <xf numFmtId="0" fontId="107" fillId="40" borderId="45" xfId="0" applyFont="1" applyFill="1" applyBorder="1" applyAlignment="1">
      <alignment horizontal="center" vertical="center" wrapText="1"/>
    </xf>
    <xf numFmtId="0" fontId="107" fillId="0" borderId="48" xfId="0" applyFont="1" applyBorder="1" applyAlignment="1">
      <alignment horizontal="center" vertical="center" wrapText="1"/>
    </xf>
    <xf numFmtId="0" fontId="107" fillId="0" borderId="35" xfId="0" applyFont="1" applyBorder="1" applyAlignment="1">
      <alignment horizontal="center" vertical="center"/>
    </xf>
    <xf numFmtId="0" fontId="107" fillId="0" borderId="35" xfId="0" applyFont="1" applyBorder="1" applyAlignment="1">
      <alignment horizontal="center" vertical="center" wrapText="1"/>
    </xf>
    <xf numFmtId="0" fontId="107" fillId="0" borderId="33" xfId="0" applyFont="1" applyBorder="1" applyAlignment="1">
      <alignment horizontal="center" vertical="center" wrapText="1"/>
    </xf>
    <xf numFmtId="0" fontId="105" fillId="36" borderId="0" xfId="0" applyFont="1" applyFill="1" applyAlignment="1">
      <alignment horizontal="center" vertical="center" wrapText="1"/>
    </xf>
    <xf numFmtId="0" fontId="106" fillId="0" borderId="34" xfId="42" applyFont="1" applyBorder="1" applyAlignment="1">
      <alignment horizontal="center" vertical="center" wrapText="1"/>
    </xf>
    <xf numFmtId="0" fontId="106" fillId="0" borderId="35" xfId="42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96" fillId="46" borderId="15" xfId="0" applyFont="1" applyFill="1" applyBorder="1" applyAlignment="1">
      <alignment horizontal="center" vertical="center"/>
    </xf>
    <xf numFmtId="0" fontId="96" fillId="46" borderId="12" xfId="0" applyFont="1" applyFill="1" applyBorder="1" applyAlignment="1">
      <alignment horizontal="center" vertical="center"/>
    </xf>
    <xf numFmtId="0" fontId="62" fillId="46" borderId="13" xfId="0" applyFont="1" applyFill="1" applyBorder="1" applyAlignment="1">
      <alignment horizontal="center" vertical="center"/>
    </xf>
    <xf numFmtId="0" fontId="62" fillId="46" borderId="17" xfId="0" applyFont="1" applyFill="1" applyBorder="1" applyAlignment="1">
      <alignment horizontal="center" vertical="center"/>
    </xf>
    <xf numFmtId="3" fontId="64" fillId="52" borderId="10" xfId="0" applyNumberFormat="1" applyFont="1" applyFill="1" applyBorder="1" applyAlignment="1">
      <alignment horizontal="center" vertical="center" wrapText="1"/>
    </xf>
    <xf numFmtId="3" fontId="64" fillId="36" borderId="46" xfId="0" applyNumberFormat="1" applyFont="1" applyFill="1" applyBorder="1" applyAlignment="1">
      <alignment horizontal="center" vertical="center" wrapText="1"/>
    </xf>
    <xf numFmtId="3" fontId="64" fillId="36" borderId="47" xfId="0" applyNumberFormat="1" applyFont="1" applyFill="1" applyBorder="1" applyAlignment="1">
      <alignment horizontal="center" vertical="center" wrapText="1"/>
    </xf>
    <xf numFmtId="3" fontId="64" fillId="36" borderId="29" xfId="0" applyNumberFormat="1" applyFont="1" applyFill="1" applyBorder="1" applyAlignment="1">
      <alignment horizontal="center" vertical="center" wrapText="1"/>
    </xf>
    <xf numFmtId="3" fontId="64" fillId="36" borderId="31" xfId="0" applyNumberFormat="1" applyFont="1" applyFill="1" applyBorder="1" applyAlignment="1">
      <alignment horizontal="center" vertical="center" wrapText="1"/>
    </xf>
    <xf numFmtId="3" fontId="64" fillId="35" borderId="46" xfId="0" applyNumberFormat="1" applyFont="1" applyFill="1" applyBorder="1" applyAlignment="1">
      <alignment horizontal="center" vertical="center" wrapText="1"/>
    </xf>
    <xf numFmtId="3" fontId="64" fillId="35" borderId="47" xfId="0" applyNumberFormat="1" applyFont="1" applyFill="1" applyBorder="1" applyAlignment="1">
      <alignment horizontal="center" vertical="center" wrapText="1"/>
    </xf>
    <xf numFmtId="3" fontId="64" fillId="35" borderId="29" xfId="0" applyNumberFormat="1" applyFont="1" applyFill="1" applyBorder="1" applyAlignment="1">
      <alignment horizontal="center" vertical="center" wrapText="1"/>
    </xf>
    <xf numFmtId="3" fontId="64" fillId="35" borderId="31" xfId="0" applyNumberFormat="1" applyFont="1" applyFill="1" applyBorder="1" applyAlignment="1">
      <alignment horizontal="center" vertical="center" wrapText="1"/>
    </xf>
    <xf numFmtId="0" fontId="62" fillId="39" borderId="10" xfId="42" applyFont="1" applyFill="1" applyBorder="1" applyAlignment="1">
      <alignment horizontal="center" vertical="center" wrapText="1"/>
    </xf>
    <xf numFmtId="3" fontId="64" fillId="40" borderId="10" xfId="0" applyNumberFormat="1" applyFont="1" applyFill="1" applyBorder="1" applyAlignment="1">
      <alignment horizontal="center" vertical="center" wrapText="1"/>
    </xf>
    <xf numFmtId="3" fontId="64" fillId="35" borderId="13" xfId="0" applyNumberFormat="1" applyFont="1" applyFill="1" applyBorder="1" applyAlignment="1">
      <alignment horizontal="center" vertical="center" wrapText="1"/>
    </xf>
    <xf numFmtId="3" fontId="64" fillId="35" borderId="28" xfId="0" applyNumberFormat="1" applyFont="1" applyFill="1" applyBorder="1" applyAlignment="1">
      <alignment horizontal="center" vertical="center" wrapText="1"/>
    </xf>
    <xf numFmtId="3" fontId="64" fillId="35" borderId="17" xfId="0" applyNumberFormat="1" applyFont="1" applyFill="1" applyBorder="1" applyAlignment="1">
      <alignment horizontal="center" vertical="center" wrapText="1"/>
    </xf>
    <xf numFmtId="0" fontId="62" fillId="39" borderId="13" xfId="42" applyFont="1" applyFill="1" applyBorder="1" applyAlignment="1">
      <alignment horizontal="center" vertical="center" wrapText="1"/>
    </xf>
    <xf numFmtId="0" fontId="62" fillId="39" borderId="28" xfId="42" applyFont="1" applyFill="1" applyBorder="1" applyAlignment="1">
      <alignment horizontal="center" vertical="center" wrapText="1"/>
    </xf>
    <xf numFmtId="0" fontId="62" fillId="39" borderId="17" xfId="42" applyFont="1" applyFill="1" applyBorder="1" applyAlignment="1">
      <alignment horizontal="center" vertical="center" wrapText="1"/>
    </xf>
    <xf numFmtId="3" fontId="64" fillId="50" borderId="15" xfId="0" applyNumberFormat="1" applyFont="1" applyFill="1" applyBorder="1" applyAlignment="1">
      <alignment horizontal="center" vertical="center" wrapText="1"/>
    </xf>
    <xf numFmtId="3" fontId="64" fillId="50" borderId="12" xfId="0" applyNumberFormat="1" applyFont="1" applyFill="1" applyBorder="1" applyAlignment="1">
      <alignment horizontal="center" vertical="center" wrapText="1"/>
    </xf>
    <xf numFmtId="0" fontId="64" fillId="50" borderId="13" xfId="0" applyFont="1" applyFill="1" applyBorder="1" applyAlignment="1">
      <alignment horizontal="center" vertical="center" wrapText="1"/>
    </xf>
    <xf numFmtId="3" fontId="64" fillId="36" borderId="13" xfId="0" applyNumberFormat="1" applyFont="1" applyFill="1" applyBorder="1" applyAlignment="1">
      <alignment horizontal="center" vertical="center" wrapText="1"/>
    </xf>
    <xf numFmtId="3" fontId="64" fillId="36" borderId="28" xfId="0" applyNumberFormat="1" applyFont="1" applyFill="1" applyBorder="1" applyAlignment="1">
      <alignment horizontal="center" vertical="center" wrapText="1"/>
    </xf>
    <xf numFmtId="3" fontId="64" fillId="36" borderId="17" xfId="0" applyNumberFormat="1" applyFont="1" applyFill="1" applyBorder="1" applyAlignment="1">
      <alignment horizontal="center" vertical="center" wrapText="1"/>
    </xf>
    <xf numFmtId="0" fontId="126" fillId="0" borderId="0" xfId="55" applyFont="1" applyAlignment="1">
      <alignment horizontal="center" vertical="center"/>
    </xf>
    <xf numFmtId="0" fontId="71" fillId="0" borderId="10" xfId="55" applyBorder="1" applyAlignment="1">
      <alignment horizontal="center" vertical="center"/>
    </xf>
    <xf numFmtId="0" fontId="71" fillId="0" borderId="10" xfId="55" applyBorder="1" applyAlignment="1">
      <alignment horizontal="center" vertical="center" wrapText="1"/>
    </xf>
    <xf numFmtId="0" fontId="71" fillId="49" borderId="10" xfId="55" applyFill="1" applyBorder="1" applyAlignment="1">
      <alignment horizontal="center" vertical="center"/>
    </xf>
    <xf numFmtId="0" fontId="71" fillId="50" borderId="10" xfId="55" applyFill="1" applyBorder="1" applyAlignment="1">
      <alignment horizontal="center" vertical="center"/>
    </xf>
    <xf numFmtId="0" fontId="31" fillId="0" borderId="10" xfId="55" applyFont="1" applyBorder="1" applyAlignment="1">
      <alignment horizontal="center"/>
    </xf>
    <xf numFmtId="0" fontId="130" fillId="0" borderId="0" xfId="55" applyFont="1" applyAlignment="1">
      <alignment horizontal="center" wrapText="1"/>
    </xf>
    <xf numFmtId="0" fontId="126" fillId="0" borderId="17" xfId="55" applyFont="1" applyBorder="1" applyAlignment="1">
      <alignment horizontal="center"/>
    </xf>
    <xf numFmtId="0" fontId="126" fillId="0" borderId="28" xfId="55" applyFont="1" applyBorder="1" applyAlignment="1">
      <alignment horizontal="center"/>
    </xf>
    <xf numFmtId="0" fontId="127" fillId="0" borderId="15" xfId="55" applyFont="1" applyBorder="1" applyAlignment="1">
      <alignment horizontal="center" vertical="center" wrapText="1"/>
    </xf>
    <xf numFmtId="0" fontId="127" fillId="0" borderId="16" xfId="55" applyFont="1" applyBorder="1" applyAlignment="1">
      <alignment horizontal="center" vertical="center" wrapText="1"/>
    </xf>
    <xf numFmtId="0" fontId="127" fillId="0" borderId="12" xfId="55" applyFont="1" applyBorder="1" applyAlignment="1">
      <alignment horizontal="center" vertical="center" wrapText="1"/>
    </xf>
    <xf numFmtId="0" fontId="127" fillId="0" borderId="10" xfId="55" applyFont="1" applyBorder="1" applyAlignment="1">
      <alignment horizontal="center" vertical="center"/>
    </xf>
    <xf numFmtId="0" fontId="31" fillId="0" borderId="10" xfId="55" applyFont="1" applyBorder="1" applyAlignment="1">
      <alignment horizontal="center" vertical="center" wrapText="1"/>
    </xf>
    <xf numFmtId="0" fontId="73" fillId="50" borderId="15" xfId="0" applyFont="1" applyFill="1" applyBorder="1" applyAlignment="1">
      <alignment horizontal="center" vertical="center" wrapText="1"/>
    </xf>
    <xf numFmtId="0" fontId="73" fillId="50" borderId="12" xfId="0" applyFont="1" applyFill="1" applyBorder="1" applyAlignment="1">
      <alignment horizontal="center" vertical="center" wrapText="1"/>
    </xf>
    <xf numFmtId="0" fontId="64" fillId="57" borderId="40" xfId="0" applyFont="1" applyFill="1" applyBorder="1" applyAlignment="1">
      <alignment horizontal="center" vertical="center" wrapText="1"/>
    </xf>
    <xf numFmtId="0" fontId="64" fillId="57" borderId="33" xfId="0" applyFont="1" applyFill="1" applyBorder="1" applyAlignment="1">
      <alignment horizontal="center" vertical="center" wrapText="1"/>
    </xf>
    <xf numFmtId="0" fontId="62" fillId="0" borderId="41" xfId="42" applyFont="1" applyBorder="1" applyAlignment="1">
      <alignment horizontal="center" vertical="center" wrapText="1"/>
    </xf>
    <xf numFmtId="0" fontId="62" fillId="0" borderId="32" xfId="42" applyFont="1" applyBorder="1" applyAlignment="1">
      <alignment horizontal="center" vertical="center" wrapText="1"/>
    </xf>
    <xf numFmtId="0" fontId="62" fillId="0" borderId="39" xfId="42" applyFont="1" applyBorder="1" applyAlignment="1">
      <alignment horizontal="center" vertical="center" wrapText="1"/>
    </xf>
    <xf numFmtId="0" fontId="62" fillId="0" borderId="54" xfId="42" applyFont="1" applyBorder="1" applyAlignment="1">
      <alignment horizontal="center" vertical="center" wrapText="1"/>
    </xf>
    <xf numFmtId="0" fontId="62" fillId="0" borderId="52" xfId="42" applyFont="1" applyBorder="1" applyAlignment="1">
      <alignment horizontal="center" vertical="center" wrapText="1"/>
    </xf>
    <xf numFmtId="0" fontId="62" fillId="0" borderId="53" xfId="42" applyFont="1" applyBorder="1" applyAlignment="1">
      <alignment horizontal="center" vertical="center" wrapText="1"/>
    </xf>
    <xf numFmtId="3" fontId="64" fillId="49" borderId="43" xfId="0" applyNumberFormat="1" applyFont="1" applyFill="1" applyBorder="1" applyAlignment="1">
      <alignment horizontal="center" vertical="center" wrapText="1"/>
    </xf>
    <xf numFmtId="3" fontId="64" fillId="49" borderId="50" xfId="0" applyNumberFormat="1" applyFont="1" applyFill="1" applyBorder="1" applyAlignment="1">
      <alignment horizontal="center" vertical="center" wrapText="1"/>
    </xf>
    <xf numFmtId="3" fontId="64" fillId="49" borderId="51" xfId="0" applyNumberFormat="1" applyFont="1" applyFill="1" applyBorder="1" applyAlignment="1">
      <alignment horizontal="center" vertical="center" wrapText="1"/>
    </xf>
    <xf numFmtId="167" fontId="64" fillId="49" borderId="55" xfId="0" applyNumberFormat="1" applyFont="1" applyFill="1" applyBorder="1" applyAlignment="1">
      <alignment horizontal="center" vertical="center" wrapText="1"/>
    </xf>
    <xf numFmtId="167" fontId="64" fillId="49" borderId="28" xfId="0" applyNumberFormat="1" applyFont="1" applyFill="1" applyBorder="1" applyAlignment="1">
      <alignment horizontal="center" vertical="center" wrapText="1"/>
    </xf>
    <xf numFmtId="167" fontId="64" fillId="49" borderId="17" xfId="0" applyNumberFormat="1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wrapText="1"/>
    </xf>
    <xf numFmtId="0" fontId="72" fillId="50" borderId="10" xfId="0" applyFont="1" applyFill="1" applyBorder="1" applyAlignment="1">
      <alignment horizontal="center" vertical="center"/>
    </xf>
    <xf numFmtId="0" fontId="85" fillId="40" borderId="10" xfId="0" applyFont="1" applyFill="1" applyBorder="1" applyAlignment="1">
      <alignment horizontal="center" wrapText="1"/>
    </xf>
    <xf numFmtId="0" fontId="85" fillId="0" borderId="10" xfId="0" applyFont="1" applyBorder="1" applyAlignment="1">
      <alignment horizontal="center" wrapText="1"/>
    </xf>
    <xf numFmtId="0" fontId="84" fillId="0" borderId="10" xfId="0" applyFont="1" applyBorder="1" applyAlignment="1">
      <alignment horizontal="center" wrapText="1"/>
    </xf>
    <xf numFmtId="0" fontId="137" fillId="36" borderId="13" xfId="0" applyFont="1" applyFill="1" applyBorder="1" applyAlignment="1">
      <alignment horizontal="center" wrapText="1"/>
    </xf>
    <xf numFmtId="0" fontId="137" fillId="36" borderId="17" xfId="0" applyFont="1" applyFill="1" applyBorder="1" applyAlignment="1">
      <alignment horizontal="center" wrapText="1"/>
    </xf>
    <xf numFmtId="0" fontId="96" fillId="0" borderId="14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/>
    </xf>
    <xf numFmtId="0" fontId="73" fillId="0" borderId="15" xfId="0" applyFont="1" applyBorder="1" applyAlignment="1">
      <alignment horizontal="center" vertical="center" wrapText="1"/>
    </xf>
    <xf numFmtId="0" fontId="73" fillId="0" borderId="12" xfId="0" applyFont="1" applyBorder="1" applyAlignment="1">
      <alignment horizontal="center" vertical="center" wrapText="1"/>
    </xf>
    <xf numFmtId="0" fontId="62" fillId="0" borderId="57" xfId="42" applyFont="1" applyBorder="1" applyAlignment="1">
      <alignment horizontal="center" vertical="center" wrapText="1"/>
    </xf>
    <xf numFmtId="0" fontId="62" fillId="0" borderId="58" xfId="42" applyFont="1" applyBorder="1" applyAlignment="1">
      <alignment horizontal="center" vertical="center" wrapText="1"/>
    </xf>
    <xf numFmtId="0" fontId="62" fillId="0" borderId="59" xfId="42" applyFont="1" applyBorder="1" applyAlignment="1">
      <alignment horizontal="center" vertical="center" wrapText="1"/>
    </xf>
    <xf numFmtId="0" fontId="85" fillId="36" borderId="10" xfId="0" applyFont="1" applyFill="1" applyBorder="1" applyAlignment="1">
      <alignment horizontal="center" wrapText="1"/>
    </xf>
    <xf numFmtId="0" fontId="85" fillId="50" borderId="10" xfId="0" applyFont="1" applyFill="1" applyBorder="1" applyAlignment="1">
      <alignment horizontal="center" vertical="center" wrapText="1"/>
    </xf>
    <xf numFmtId="0" fontId="137" fillId="50" borderId="10" xfId="0" applyFont="1" applyFill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0" fontId="84" fillId="0" borderId="15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85" fillId="40" borderId="15" xfId="0" applyFont="1" applyFill="1" applyBorder="1" applyAlignment="1">
      <alignment horizontal="center" vertical="center" wrapText="1"/>
    </xf>
    <xf numFmtId="0" fontId="85" fillId="40" borderId="12" xfId="0" applyFont="1" applyFill="1" applyBorder="1" applyAlignment="1">
      <alignment horizontal="center" vertical="center" wrapText="1"/>
    </xf>
    <xf numFmtId="0" fontId="144" fillId="0" borderId="14" xfId="0" applyFont="1" applyBorder="1" applyAlignment="1">
      <alignment horizontal="center" vertical="center" wrapText="1"/>
    </xf>
    <xf numFmtId="0" fontId="84" fillId="0" borderId="0" xfId="0" applyFont="1" applyAlignment="1">
      <alignment horizontal="left" vertical="top" wrapText="1"/>
    </xf>
    <xf numFmtId="0" fontId="84" fillId="0" borderId="0" xfId="0" applyFont="1" applyAlignment="1">
      <alignment horizontal="left" vertical="top"/>
    </xf>
    <xf numFmtId="0" fontId="84" fillId="0" borderId="10" xfId="57" applyFont="1" applyBorder="1" applyAlignment="1">
      <alignment horizontal="center" vertical="center" wrapText="1"/>
    </xf>
    <xf numFmtId="173" fontId="84" fillId="0" borderId="15" xfId="57" applyNumberFormat="1" applyFont="1" applyBorder="1" applyAlignment="1">
      <alignment horizontal="center" vertical="center"/>
    </xf>
    <xf numFmtId="173" fontId="84" fillId="0" borderId="12" xfId="57" applyNumberFormat="1" applyFont="1" applyBorder="1" applyAlignment="1">
      <alignment horizontal="center" vertical="center"/>
    </xf>
    <xf numFmtId="0" fontId="84" fillId="0" borderId="10" xfId="57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0" fillId="50" borderId="0" xfId="0" applyFill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0" borderId="0" xfId="0" applyFill="1" applyAlignment="1">
      <alignment horizontal="left" vertical="center" wrapText="1"/>
    </xf>
    <xf numFmtId="0" fontId="136" fillId="0" borderId="10" xfId="63" applyBorder="1" applyAlignment="1">
      <alignment horizontal="center" wrapText="1"/>
    </xf>
    <xf numFmtId="0" fontId="58" fillId="0" borderId="0" xfId="0" applyFont="1" applyAlignment="1">
      <alignment horizontal="center"/>
    </xf>
    <xf numFmtId="0" fontId="38" fillId="0" borderId="11" xfId="0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9" fillId="33" borderId="0" xfId="0" applyFont="1" applyFill="1" applyAlignment="1">
      <alignment horizontal="left" wrapText="1"/>
    </xf>
    <xf numFmtId="3" fontId="33" fillId="33" borderId="0" xfId="0" applyNumberFormat="1" applyFont="1" applyFill="1" applyAlignment="1">
      <alignment horizontal="left" wrapText="1"/>
    </xf>
    <xf numFmtId="0" fontId="36" fillId="33" borderId="0" xfId="0" applyFont="1" applyFill="1" applyAlignment="1">
      <alignment horizontal="left"/>
    </xf>
  </cellXfs>
  <cellStyles count="9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63" builtinId="8"/>
    <cellStyle name="Гиперссылка 2" xfId="68" xr:uid="{AFFBC3F2-BBE5-4675-B880-FD83961C8314}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60" xr:uid="{00000000-0005-0000-0000-000024000000}"/>
    <cellStyle name="Обычный 100" xfId="56" xr:uid="{00000000-0005-0000-0000-000025000000}"/>
    <cellStyle name="Обычный 11" xfId="67" xr:uid="{261074C0-0E5C-4148-8F2B-57C991488665}"/>
    <cellStyle name="Обычный 12" xfId="88" xr:uid="{709469FF-46E3-4076-AD9D-49443F3FBEE9}"/>
    <cellStyle name="Обычный 2" xfId="42" xr:uid="{00000000-0005-0000-0000-000026000000}"/>
    <cellStyle name="Обычный 2 10" xfId="92" xr:uid="{36068DCE-F980-4A35-925A-BBEE70A5B8D3}"/>
    <cellStyle name="Обычный 2 2" xfId="53" xr:uid="{00000000-0005-0000-0000-000027000000}"/>
    <cellStyle name="Обычный 2 2 2" xfId="80" xr:uid="{61F9E7B9-48EB-41B1-A393-28FF9D338ACE}"/>
    <cellStyle name="Обычный 2 2 3" xfId="94" xr:uid="{B988F688-B0E7-4D0C-9CC2-3CCAD93917CA}"/>
    <cellStyle name="Обычный 2 3" xfId="64" xr:uid="{895141FE-DC49-4530-B883-8330DFDBFA42}"/>
    <cellStyle name="Обычный 2 4" xfId="69" xr:uid="{626A4612-A2E8-4D9F-85EE-A3B692FD63D1}"/>
    <cellStyle name="Обычный 2 5" xfId="71" xr:uid="{FA79949C-E918-4EA3-9EFA-E18A515CC8AA}"/>
    <cellStyle name="Обычный 2 6" xfId="73" xr:uid="{EF1AEA4C-FA25-4C89-AB0C-F3FFB206A30C}"/>
    <cellStyle name="Обычный 2 7" xfId="75" xr:uid="{990A6E37-BE8A-4DB4-9D56-8E0441992ACE}"/>
    <cellStyle name="Обычный 2 8" xfId="77" xr:uid="{D3EBBC66-10E0-4467-AF30-D3AC1F9885A6}"/>
    <cellStyle name="Обычный 2 9" xfId="79" xr:uid="{DA39BA59-BE1C-4962-BE81-7AB652DABE3A}"/>
    <cellStyle name="Обычный 3" xfId="45" xr:uid="{00000000-0005-0000-0000-000028000000}"/>
    <cellStyle name="Обычный 3 2" xfId="54" xr:uid="{00000000-0005-0000-0000-000029000000}"/>
    <cellStyle name="Обычный 3 2 2" xfId="86" xr:uid="{4FC244D7-8B94-40BF-819A-9D71ADFB4EB2}"/>
    <cellStyle name="Обычный 3 2 3" xfId="82" xr:uid="{DB2814E6-9DBF-449B-BF13-A201965D42C6}"/>
    <cellStyle name="Обычный 3 3" xfId="85" xr:uid="{1812551C-EA5D-4293-B95D-B45884C9D202}"/>
    <cellStyle name="Обычный 3 4" xfId="81" xr:uid="{A11597DB-D4C4-430A-B73B-56EF1FB99061}"/>
    <cellStyle name="Обычный 3 5" xfId="95" xr:uid="{062BC76B-9C20-4DA6-B272-D19191D0B599}"/>
    <cellStyle name="Обычный 365" xfId="62" xr:uid="{00000000-0005-0000-0000-00002A000000}"/>
    <cellStyle name="Обычный 368" xfId="47" xr:uid="{00000000-0005-0000-0000-00002B000000}"/>
    <cellStyle name="Обычный 372" xfId="48" xr:uid="{00000000-0005-0000-0000-00002C000000}"/>
    <cellStyle name="Обычный 373" xfId="46" xr:uid="{00000000-0005-0000-0000-00002D000000}"/>
    <cellStyle name="Обычный 4" xfId="49" xr:uid="{00000000-0005-0000-0000-00002E000000}"/>
    <cellStyle name="Обычный 4 2" xfId="93" xr:uid="{210AF946-81FA-48D5-BED5-3D57296989E0}"/>
    <cellStyle name="Обычный 5" xfId="51" xr:uid="{00000000-0005-0000-0000-00002F000000}"/>
    <cellStyle name="Обычный 5 2" xfId="87" xr:uid="{95368B76-BD66-4605-899C-83084FD5579A}"/>
    <cellStyle name="Обычный 5 3" xfId="83" xr:uid="{A24D4B0A-FDD3-4477-9F65-0392A556CD99}"/>
    <cellStyle name="Обычный 6" xfId="52" xr:uid="{00000000-0005-0000-0000-000030000000}"/>
    <cellStyle name="Обычный 7" xfId="55" xr:uid="{00000000-0005-0000-0000-000031000000}"/>
    <cellStyle name="Обычный 8" xfId="57" xr:uid="{00000000-0005-0000-0000-000032000000}"/>
    <cellStyle name="Обычный 9" xfId="58" xr:uid="{00000000-0005-0000-0000-000033000000}"/>
    <cellStyle name="Обычный_Расчет дотаций основной вариант" xfId="61" xr:uid="{00000000-0005-0000-0000-00003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 2" xfId="44" xr:uid="{00000000-0005-0000-0000-000039000000}"/>
    <cellStyle name="Процентный 3" xfId="59" xr:uid="{00000000-0005-0000-0000-00003A000000}"/>
    <cellStyle name="Процентный 4" xfId="90" xr:uid="{73C784A7-630D-4CC0-A94C-B83D8F7C2F9B}"/>
    <cellStyle name="Связанная ячейка" xfId="12" builtinId="24" customBuiltin="1"/>
    <cellStyle name="Текст предупреждения" xfId="14" builtinId="11" customBuiltin="1"/>
    <cellStyle name="Финансовый 2" xfId="43" xr:uid="{00000000-0005-0000-0000-00003E000000}"/>
    <cellStyle name="Финансовый 2 2" xfId="65" xr:uid="{C0CFCDCD-C5A7-46D9-9DB6-4B90AA5467B3}"/>
    <cellStyle name="Финансовый 2 3" xfId="70" xr:uid="{3309D0F7-FAB6-45E1-AF82-BECDCB162E2B}"/>
    <cellStyle name="Финансовый 2 4" xfId="72" xr:uid="{30D7D939-4E9B-4BCC-A8B6-EFD389A0EF5B}"/>
    <cellStyle name="Финансовый 2 5" xfId="74" xr:uid="{D0162567-BC99-43E9-A308-343D4111D2EA}"/>
    <cellStyle name="Финансовый 2 6" xfId="76" xr:uid="{CA94A945-0A9F-4F88-A9BC-510F2918D1AD}"/>
    <cellStyle name="Финансовый 2 7" xfId="78" xr:uid="{5CABA710-B614-460F-8598-9EA5D91A2B28}"/>
    <cellStyle name="Финансовый 2 8" xfId="91" xr:uid="{4019E8EA-6816-40B8-B7CC-B6D28E7B4338}"/>
    <cellStyle name="Финансовый 3" xfId="50" xr:uid="{00000000-0005-0000-0000-00003F000000}"/>
    <cellStyle name="Финансовый 4" xfId="66" xr:uid="{C953FB2F-E888-4F8D-A19C-B284BC9D8251}"/>
    <cellStyle name="Финансовый 5" xfId="84" xr:uid="{E70665DA-0B84-47FE-BD3F-6EFDEEC2E032}"/>
    <cellStyle name="Финансовый 6" xfId="89" xr:uid="{B248CE90-1418-47A0-AFFC-FE44514F1900}"/>
    <cellStyle name="Хороший" xfId="6" builtinId="26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DA9D7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392906</xdr:colOff>
      <xdr:row>25</xdr:row>
      <xdr:rowOff>59533</xdr:rowOff>
    </xdr:from>
    <xdr:to>
      <xdr:col>6</xdr:col>
      <xdr:colOff>1000125</xdr:colOff>
      <xdr:row>29</xdr:row>
      <xdr:rowOff>59533</xdr:rowOff>
    </xdr:to>
    <xdr:sp macro="" textlink="">
      <xdr:nvSpPr>
        <xdr:cNvPr id="3" name="Стрелка: вниз 2">
          <a:extLst>
            <a:ext uri="{FF2B5EF4-FFF2-40B4-BE49-F238E27FC236}">
              <a16:creationId xmlns:a16="http://schemas.microsoft.com/office/drawing/2014/main" id="{BF87DDB8-0104-4544-8BEB-47B767B558CA}"/>
            </a:ext>
          </a:extLst>
        </xdr:cNvPr>
        <xdr:cNvSpPr/>
      </xdr:nvSpPr>
      <xdr:spPr>
        <a:xfrm>
          <a:off x="11670506" y="6536533"/>
          <a:ext cx="607219" cy="7620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!&#1056;&#1072;&#1089;&#1095;&#1077;&#1090;&#1099;%20&#1055;&#1043;&#1043;\!&#1055;&#1043;&#1043;-2025\!&#1055;&#1043;&#1043;%202025%20(&#1074;&#1077;&#1088;&#1089;&#1080;&#1103;%208)(62,75%20&#1084;&#1083;&#1088;&#1076;.%20&#1088;&#1091;&#1073;)\!!!!&#1055;&#1043;&#1043;-2025%20(&#1074;&#1077;&#1088;&#1089;&#1080;&#1103;%208)%20(62,75%20&#1084;&#1083;&#1088;&#1076;.%20&#1088;&#1091;&#107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!&#1056;&#1072;&#1089;&#1095;&#1077;&#1090;&#1099;%20&#1055;&#1043;&#1043;\!&#1055;&#1043;&#1043;-2025\!&#1055;&#1043;&#1043;%202025%20(&#1074;&#1077;&#1088;&#1089;&#1080;&#1103;%204)\!!!!&#1055;&#1043;&#1043;-2025%20(&#1074;&#1077;&#1088;&#1089;&#1080;&#1103;%204)%20&#1089;%20&#1093;&#1086;&#1090;&#1077;&#1083;&#1082;&#1072;&#1084;&#1080;%20&#1085;&#1086;&#1074;&#1099;&#1077;%20&#1053;&#1060;&#1047;+17,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-filesrv-nfs\Modernizaciya%202011-2012\!&#1056;&#1072;&#1089;&#1095;&#1077;&#1090;&#1099;%20&#1055;&#1043;&#1043;\06.12.2023%20(&#1088;&#1077;&#1087;&#1088;&#1086;&#1076;&#1091;&#1082;&#1090;&#1080;&#1074;&#1085;&#1086;&#1077;%20&#1079;&#1076;&#1086;&#1088;&#1086;&#1074;&#1100;&#1077;)\3!!!!&#1055;&#1043;&#1043;%2024-26%200712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-FILESRV-NFS\Modernizaciya%202011-2012\!&#1056;&#1072;&#1089;&#1095;&#1077;&#1090;&#1099;%20&#1055;&#1043;&#1043;\&#1076;&#1080;&#1089;&#1087;&#1072;&#1085;&#1089;&#1077;&#1088;&#1080;&#1079;&#1080;&#1072;&#1094;&#1080;&#1103;%20&#1080;%20&#1055;&#1052;&#1054;\20112023\&#1044;&#1086;&#1087;%20&#1044;&#1044;%203%20&#1074;&#1077;&#1088;&#1089;&#1080;&#1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!&#1056;&#1072;&#1089;&#1095;&#1077;&#1090;&#1099;%20&#1055;&#1043;&#1043;\!&#1055;&#1043;&#1043;-2025\!&#1055;&#1043;&#1043;%202025%20(&#1074;&#1077;&#1088;&#1089;&#1080;&#1103;%205)\&#1048;&#1085;&#1076;&#1077;&#1082;&#1089;&#1072;&#1094;&#1080;&#1103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и Численность"/>
      <sheetName val="Репродуктивное"/>
      <sheetName val="!!! Фин обеспечение коротко +++"/>
      <sheetName val="!!!!Сравнение"/>
      <sheetName val="Индексация 2353 с уч роста зп"/>
      <sheetName val="Четвертый вариант ФГУ"/>
      <sheetName val="6 мес 2024 ТПГГ"/>
      <sheetName val="62 форма 2000"/>
      <sheetName val="Обращения"/>
      <sheetName val="Центры здоровья"/>
      <sheetName val="Реабилитация объемы"/>
      <sheetName val="СМП"/>
      <sheetName val="Прирост коротко"/>
      <sheetName val="Прирост"/>
      <sheetName val=" Перс пом первый вариант"/>
      <sheetName val="Приложение 2 "/>
      <sheetName val="!!!Для доклада коротко"/>
      <sheetName val="Показатели"/>
      <sheetName val="Для Председателя сравнение"/>
      <sheetName val="ЭКО"/>
      <sheetName val="НФЗ и БС"/>
      <sheetName val="Репродуктив. зд"/>
      <sheetName val="ФГУ 05072024"/>
      <sheetName val="Перс пом нов"/>
      <sheetName val="Макроэкономические показатели"/>
      <sheetName val="ФГУ 5 мес.2024 и 2023"/>
      <sheetName val="ФГУ НОВЫЙ"/>
      <sheetName val="Онкология"/>
      <sheetName val="Расчет прочих профилей КС"/>
      <sheetName val="Расчет прочих профилей ДС"/>
      <sheetName val="ДД и ПРОФ без маммографии ИНД"/>
      <sheetName val="ВМп III перечень"/>
      <sheetName val="ФГУ"/>
      <sheetName val="ВМП"/>
      <sheetName val="сравнение с ПГГ 2022"/>
      <sheetName val="Школа СД"/>
      <sheetName val="62 форма 9000 Доли"/>
      <sheetName val="паспорт ЭКО"/>
      <sheetName val="ОНКО Дима"/>
    </sheetNames>
    <sheetDataSet>
      <sheetData sheetId="0">
        <row r="2">
          <cell r="H2">
            <v>145065530</v>
          </cell>
          <cell r="J2">
            <v>144155234</v>
          </cell>
        </row>
        <row r="4">
          <cell r="H4">
            <v>1.2012733644884057</v>
          </cell>
          <cell r="J4">
            <v>1.1983525281704299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и Численность 140823"/>
      <sheetName val="СВОД и Численность 160823"/>
      <sheetName val="СВОД и Численность"/>
      <sheetName val="!!!!Сравнение (хотелки)"/>
      <sheetName val="Реабилитация объемы"/>
      <sheetName val="СМП"/>
      <sheetName val="Прирост коротко"/>
      <sheetName val="Прирост"/>
      <sheetName val=" Перс пом первый вариант"/>
      <sheetName val="!!!!Сравнение"/>
      <sheetName val="Приложение 2 "/>
      <sheetName val="!!!Для доклада коротко"/>
      <sheetName val="!!! Для Баланина коротко +++"/>
      <sheetName val="Показатели"/>
      <sheetName val="Для Председателя сравнение"/>
      <sheetName val="ЭКО"/>
      <sheetName val="НФЗ и БС"/>
      <sheetName val="ФГУ 05072024"/>
      <sheetName val="Четвертый вариант ФГУ"/>
      <sheetName val="Перс пом нов"/>
      <sheetName val="Макроэкономические показатели"/>
      <sheetName val="6 мес 2024 ТПГГ"/>
      <sheetName val="Репродуктивное"/>
      <sheetName val="ФГУ 5 мес.2024 и 2023"/>
      <sheetName val="ФГУ НОВЫЙ"/>
      <sheetName val="ФГУ расклад 25 млрд на 2023 год"/>
      <sheetName val="Онкология"/>
      <sheetName val="Расчет прочих профилей КС"/>
      <sheetName val="Расчет прочих профилей ДС"/>
      <sheetName val="ДД и ПРОФ без маммографии ИНД"/>
      <sheetName val="ВМп III перечень"/>
      <sheetName val="ФГУ"/>
      <sheetName val="ВМП"/>
      <sheetName val="сравнение с ПГГ 2022"/>
      <sheetName val="Школа СД"/>
      <sheetName val="62 форма 2000"/>
      <sheetName val="62 форма 9000 Доли"/>
      <sheetName val="паспорт ЭКО"/>
      <sheetName val="ОНКО Дима"/>
      <sheetName val="СВОД и Численность 110823"/>
    </sheetNames>
    <sheetDataSet>
      <sheetData sheetId="0" refreshError="1"/>
      <sheetData sheetId="1" refreshError="1"/>
      <sheetData sheetId="2" refreshError="1">
        <row r="10">
          <cell r="BE10">
            <v>214950995.5</v>
          </cell>
        </row>
        <row r="19">
          <cell r="BC19">
            <v>176195848.30000001</v>
          </cell>
        </row>
        <row r="21">
          <cell r="N21">
            <v>257065181.82000002</v>
          </cell>
          <cell r="BC21">
            <v>567137204.10000002</v>
          </cell>
        </row>
        <row r="23">
          <cell r="N23">
            <v>8301665.3111999994</v>
          </cell>
        </row>
        <row r="24">
          <cell r="N24">
            <v>3168270.4878000002</v>
          </cell>
        </row>
        <row r="25">
          <cell r="N25">
            <v>17601854.2128</v>
          </cell>
        </row>
        <row r="26">
          <cell r="N26">
            <v>5086085.7419999996</v>
          </cell>
        </row>
        <row r="27">
          <cell r="N27">
            <v>186504.19019999998</v>
          </cell>
        </row>
        <row r="28">
          <cell r="N28">
            <v>3897319.2497999999</v>
          </cell>
        </row>
        <row r="29">
          <cell r="N29">
            <v>300000</v>
          </cell>
        </row>
        <row r="30">
          <cell r="N30">
            <v>820000</v>
          </cell>
        </row>
        <row r="31">
          <cell r="N31">
            <v>520875</v>
          </cell>
        </row>
      </sheetData>
      <sheetData sheetId="3">
        <row r="86">
          <cell r="J86">
            <v>95812903.718212232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и Численность 140823"/>
      <sheetName val="СВОД и Численность 160823"/>
      <sheetName val="Для Баланина коротко 160823"/>
      <sheetName val="СВОД и Численность 061223"/>
      <sheetName val="РЗ"/>
      <sheetName val="Прирост коротко"/>
      <sheetName val="Прирост"/>
      <sheetName val="!!!!Сравнение"/>
      <sheetName val="!!! Для Баланина коротко +++"/>
      <sheetName val="Для Председателя сравнение"/>
      <sheetName val="!Для Баланина коротко 150923"/>
      <sheetName val="ЭКО"/>
      <sheetName val="ФГУ НОВЫЙ"/>
      <sheetName val="Оценка_репродуктивного_здоровья"/>
      <sheetName val="ДНР,ЛНР..."/>
      <sheetName val="ФГУ расклад 25 млрд на 2023 год"/>
      <sheetName val="Онкология"/>
      <sheetName val="Расчет прочих профилей КС"/>
      <sheetName val="Расчет прочих профилей ДС"/>
      <sheetName val="ДД и ПРОФ без маммографии ИНД"/>
      <sheetName val="ВМп III перечень"/>
      <sheetName val="ФГУ"/>
      <sheetName val="ВМП"/>
      <sheetName val="6 месяцев ТПГГ"/>
      <sheetName val="сравнение с ПГГ 2022"/>
      <sheetName val="Макроэкономические показатели"/>
      <sheetName val="62 форма 2000"/>
      <sheetName val="62 форма 9000 Доли"/>
      <sheetName val="паспорт ЭКО"/>
      <sheetName val="ОНКО Дима"/>
      <sheetName val="СВОД и Численность 110823"/>
    </sheetNames>
    <sheetDataSet>
      <sheetData sheetId="0"/>
      <sheetData sheetId="1"/>
      <sheetData sheetId="2"/>
      <sheetData sheetId="3">
        <row r="8">
          <cell r="BF8">
            <v>1.0072195473933441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доп дд вечер ок"/>
    </sheetNames>
    <sheetDataSet>
      <sheetData sheetId="0">
        <row r="19">
          <cell r="B19" t="str">
            <v>A03.20.001</v>
          </cell>
        </row>
        <row r="21">
          <cell r="B21">
            <v>1.1983525281704299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и Численность 140823"/>
      <sheetName val="СВОД и Численность 160823"/>
      <sheetName val="Для Баланина коротко 160823"/>
      <sheetName val="Индексация 2353 с уч роста зп"/>
      <sheetName val="СВОД и Численность 061023"/>
      <sheetName val="Индексация 2353"/>
      <sheetName val="Параметры"/>
      <sheetName val="Индексация проект"/>
      <sheetName val="Хотелки"/>
      <sheetName val="СМП"/>
      <sheetName val="Прирост коротко"/>
      <sheetName val="Прирост"/>
      <sheetName val="!!!!Сравнение"/>
      <sheetName val="!!! Для Баланина коротко +++"/>
      <sheetName val="Для Председателя сравнение"/>
      <sheetName val="!Для Баланина коротко 150923"/>
      <sheetName val="ЭКО"/>
      <sheetName val="ФГУ НОВЫЙ"/>
      <sheetName val="Реабилитация"/>
      <sheetName val="ФГУ расклад 25 млрд на 2023 год"/>
      <sheetName val="Онкология"/>
      <sheetName val="Расчет прочих профилей КС"/>
      <sheetName val="Расчет прочих профилей ДС"/>
      <sheetName val="ДД и ПРОФ без маммографии ИНД"/>
      <sheetName val="ВМп III перечень"/>
      <sheetName val="ФГУ"/>
      <sheetName val="ВМП"/>
      <sheetName val="6 месяцев ТПГГ"/>
      <sheetName val="сравнение с ПГГ 2022"/>
      <sheetName val="Макроэкономические показатели"/>
      <sheetName val="62 форма 2000"/>
      <sheetName val="62 форма 9000 Доли"/>
      <sheetName val="паспорт ЭКО"/>
      <sheetName val="ОНКО Дима"/>
      <sheetName val="СВОД и Численность 110823"/>
    </sheetNames>
    <sheetDataSet>
      <sheetData sheetId="0" refreshError="1"/>
      <sheetData sheetId="1" refreshError="1"/>
      <sheetData sheetId="2" refreshError="1"/>
      <sheetData sheetId="3"/>
      <sheetData sheetId="4">
        <row r="4">
          <cell r="AF4">
            <v>0.64519894077556239</v>
          </cell>
          <cell r="AG4">
            <v>0.79486100024339501</v>
          </cell>
          <cell r="AH4">
            <v>0.77044225125373333</v>
          </cell>
          <cell r="AI4">
            <v>0.59898572804081629</v>
          </cell>
          <cell r="AK4">
            <v>0.6625207813523144</v>
          </cell>
          <cell r="AM4">
            <v>0.34172296639108701</v>
          </cell>
        </row>
        <row r="5">
          <cell r="AF5">
            <v>0.35480105922443761</v>
          </cell>
          <cell r="AG5">
            <v>0.20513899975660499</v>
          </cell>
          <cell r="AH5">
            <v>0.22955774874626667</v>
          </cell>
          <cell r="AI5">
            <v>0.40101427195918371</v>
          </cell>
          <cell r="AK5">
            <v>0.3374792186476856</v>
          </cell>
          <cell r="AM5">
            <v>0.65827703360891299</v>
          </cell>
        </row>
        <row r="10">
          <cell r="O10">
            <v>41805017.859999999</v>
          </cell>
          <cell r="P10">
            <v>0.28999999999999998</v>
          </cell>
          <cell r="AD10">
            <v>3288.9</v>
          </cell>
          <cell r="AJ10">
            <v>3849.119512680868</v>
          </cell>
          <cell r="BF10">
            <v>152891685.80000001</v>
          </cell>
          <cell r="BG10">
            <v>183218138.19999999</v>
          </cell>
          <cell r="BH10">
            <v>184540890.19999999</v>
          </cell>
        </row>
        <row r="11">
          <cell r="O11" t="str">
            <v>X</v>
          </cell>
          <cell r="P11" t="str">
            <v>X</v>
          </cell>
          <cell r="AD11" t="str">
            <v>X</v>
          </cell>
        </row>
        <row r="12">
          <cell r="O12">
            <v>781711019.87750196</v>
          </cell>
          <cell r="P12">
            <v>5.4227030000000003</v>
          </cell>
          <cell r="AD12">
            <v>1122.0338599730098</v>
          </cell>
          <cell r="AJ12">
            <v>1359.5</v>
          </cell>
          <cell r="BF12">
            <v>1003805879.1</v>
          </cell>
          <cell r="BG12">
            <v>1202913313</v>
          </cell>
          <cell r="BH12">
            <v>1211597802.7</v>
          </cell>
        </row>
        <row r="13">
          <cell r="O13">
            <v>44891669.730408005</v>
          </cell>
          <cell r="P13">
            <v>0.31141200000000002</v>
          </cell>
          <cell r="AD13">
            <v>2051.5</v>
          </cell>
          <cell r="AJ13">
            <v>2354.1999999999998</v>
          </cell>
          <cell r="BF13">
            <v>100566318.5</v>
          </cell>
          <cell r="BG13">
            <v>120513902</v>
          </cell>
          <cell r="BH13">
            <v>121383957.8</v>
          </cell>
        </row>
        <row r="14">
          <cell r="O14">
            <v>56017426.535294004</v>
          </cell>
          <cell r="P14">
            <v>0.38859100000000002</v>
          </cell>
          <cell r="AD14">
            <v>2507.1999999999998</v>
          </cell>
          <cell r="AJ14">
            <v>2877.2</v>
          </cell>
          <cell r="BF14">
            <v>153218865.09999999</v>
          </cell>
          <cell r="BG14">
            <v>183610214.40000001</v>
          </cell>
          <cell r="BH14">
            <v>184935797</v>
          </cell>
        </row>
        <row r="15">
          <cell r="O15">
            <v>7317031.3673719997</v>
          </cell>
          <cell r="P15">
            <v>5.0757999999999998E-2</v>
          </cell>
          <cell r="AD15">
            <v>1084.0999999999999</v>
          </cell>
          <cell r="AJ15">
            <v>1244.0999999999999</v>
          </cell>
          <cell r="BF15">
            <v>8615072.6999999993</v>
          </cell>
          <cell r="BG15">
            <v>10323894.199999999</v>
          </cell>
          <cell r="BH15">
            <v>10398428</v>
          </cell>
        </row>
        <row r="16">
          <cell r="O16">
            <v>307521171.10377598</v>
          </cell>
          <cell r="P16">
            <v>2.133264</v>
          </cell>
          <cell r="AD16">
            <v>355.2</v>
          </cell>
          <cell r="AJ16">
            <v>407.6</v>
          </cell>
          <cell r="BF16">
            <v>118641667.8</v>
          </cell>
          <cell r="BG16">
            <v>142174542.59999999</v>
          </cell>
          <cell r="BH16">
            <v>143200978.40000001</v>
          </cell>
        </row>
        <row r="17">
          <cell r="O17">
            <v>77843826.359999999</v>
          </cell>
          <cell r="P17">
            <v>0.54</v>
          </cell>
          <cell r="AD17">
            <v>770</v>
          </cell>
          <cell r="AJ17">
            <v>883.6</v>
          </cell>
          <cell r="BF17">
            <v>65100792</v>
          </cell>
          <cell r="BG17">
            <v>78013698.700000003</v>
          </cell>
          <cell r="BH17">
            <v>78576922.299999997</v>
          </cell>
        </row>
        <row r="18">
          <cell r="O18">
            <v>257706311.82180002</v>
          </cell>
          <cell r="P18">
            <v>1.7877000000000001</v>
          </cell>
          <cell r="AD18">
            <v>1727.1</v>
          </cell>
          <cell r="AJ18">
            <v>1982</v>
          </cell>
          <cell r="BF18">
            <v>482142738.80000001</v>
          </cell>
          <cell r="BG18">
            <v>577776970</v>
          </cell>
          <cell r="BH18">
            <v>581948258.20000005</v>
          </cell>
        </row>
        <row r="20">
          <cell r="J20">
            <v>3747370</v>
          </cell>
          <cell r="O20">
            <v>7274793.8838100005</v>
          </cell>
          <cell r="P20">
            <v>5.0465000000000003E-2</v>
          </cell>
          <cell r="AD20">
            <v>2692.1</v>
          </cell>
          <cell r="AJ20">
            <v>3089.4</v>
          </cell>
          <cell r="BF20">
            <v>21269314.899999999</v>
          </cell>
          <cell r="BG20">
            <v>25488137.300000001</v>
          </cell>
          <cell r="BH20">
            <v>25672150.100000001</v>
          </cell>
        </row>
        <row r="21">
          <cell r="J21">
            <v>1489282</v>
          </cell>
          <cell r="O21">
            <v>2620597.9988859999</v>
          </cell>
          <cell r="P21">
            <v>1.8179000000000001E-2</v>
          </cell>
          <cell r="AD21">
            <v>3675.9</v>
          </cell>
          <cell r="AJ21">
            <v>4218.3</v>
          </cell>
          <cell r="BF21">
            <v>10461951.300000001</v>
          </cell>
          <cell r="BG21">
            <v>12537105.800000001</v>
          </cell>
          <cell r="BH21">
            <v>12627618</v>
          </cell>
        </row>
        <row r="22">
          <cell r="J22">
            <v>7875689</v>
          </cell>
          <cell r="O22">
            <v>13678890.15426</v>
          </cell>
          <cell r="P22">
            <v>9.4890000000000002E-2</v>
          </cell>
          <cell r="AD22">
            <v>543.6</v>
          </cell>
          <cell r="AJ22">
            <v>623.79999999999995</v>
          </cell>
          <cell r="BF22">
            <v>8076016.7000000002</v>
          </cell>
          <cell r="BG22">
            <v>9677915</v>
          </cell>
          <cell r="BH22">
            <v>9747785.1999999993</v>
          </cell>
        </row>
        <row r="23">
          <cell r="J23">
            <v>2491350</v>
          </cell>
          <cell r="O23">
            <v>4456991.5248119999</v>
          </cell>
          <cell r="P23">
            <v>3.0918000000000001E-2</v>
          </cell>
          <cell r="AD23">
            <v>996.8</v>
          </cell>
          <cell r="AJ23">
            <v>1143.9000000000001</v>
          </cell>
          <cell r="BF23">
            <v>4825139</v>
          </cell>
          <cell r="BG23">
            <v>5782217.5</v>
          </cell>
          <cell r="BH23">
            <v>5823962.5</v>
          </cell>
        </row>
        <row r="24">
          <cell r="J24">
            <v>104060</v>
          </cell>
          <cell r="O24">
            <v>161453.86207999999</v>
          </cell>
          <cell r="P24">
            <v>1.1199999999999999E-3</v>
          </cell>
          <cell r="AD24">
            <v>8371.1</v>
          </cell>
          <cell r="AJ24">
            <v>9606.4</v>
          </cell>
          <cell r="BF24">
            <v>1467841.6</v>
          </cell>
          <cell r="BG24">
            <v>1758991.7</v>
          </cell>
          <cell r="BH24">
            <v>1771690.8</v>
          </cell>
        </row>
        <row r="25">
          <cell r="J25">
            <v>1845710</v>
          </cell>
          <cell r="O25">
            <v>2190006.3149279999</v>
          </cell>
          <cell r="P25">
            <v>1.5192000000000001E-2</v>
          </cell>
          <cell r="AD25">
            <v>2064.5</v>
          </cell>
          <cell r="AJ25">
            <v>2369.1</v>
          </cell>
          <cell r="BF25">
            <v>4910213.2</v>
          </cell>
          <cell r="BG25">
            <v>5884166.4000000004</v>
          </cell>
          <cell r="BH25">
            <v>5926647.4000000004</v>
          </cell>
        </row>
        <row r="26">
          <cell r="J26">
            <v>7408038</v>
          </cell>
          <cell r="O26">
            <v>14816130.795286</v>
          </cell>
          <cell r="P26">
            <v>0.102779</v>
          </cell>
          <cell r="AD26">
            <v>399.6</v>
          </cell>
          <cell r="AJ26">
            <v>458.6</v>
          </cell>
          <cell r="BF26">
            <v>6430200.7999999998</v>
          </cell>
          <cell r="BG26">
            <v>7705647.4000000004</v>
          </cell>
          <cell r="BH26">
            <v>7761278.7000000002</v>
          </cell>
        </row>
        <row r="27">
          <cell r="O27">
            <v>37730614.326224007</v>
          </cell>
          <cell r="P27">
            <v>0.26173600000000002</v>
          </cell>
          <cell r="AD27">
            <v>1268.5999999999999</v>
          </cell>
          <cell r="AJ27">
            <v>2411.1999999999998</v>
          </cell>
          <cell r="BF27">
            <v>84135496.900000006</v>
          </cell>
          <cell r="BG27">
            <v>100823985.40000001</v>
          </cell>
          <cell r="BH27">
            <v>101551888.90000001</v>
          </cell>
        </row>
        <row r="28">
          <cell r="O28">
            <v>6494642.9466985362</v>
          </cell>
          <cell r="P28">
            <v>4.505E-2</v>
          </cell>
          <cell r="AJ28">
            <v>3397.8</v>
          </cell>
          <cell r="BF28">
            <v>20406703.600000001</v>
          </cell>
          <cell r="BG28">
            <v>24454424.899999999</v>
          </cell>
          <cell r="BH28">
            <v>24630974.800000001</v>
          </cell>
        </row>
        <row r="29">
          <cell r="O29">
            <v>8620634.4371466376</v>
          </cell>
          <cell r="P29">
            <v>5.9799999999999999E-2</v>
          </cell>
          <cell r="AJ29">
            <v>1282.9000000000001</v>
          </cell>
          <cell r="BF29">
            <v>10227341</v>
          </cell>
          <cell r="BG29">
            <v>12255959.9</v>
          </cell>
          <cell r="BH29">
            <v>12344442.4</v>
          </cell>
        </row>
        <row r="30">
          <cell r="O30">
            <v>18049432.928257409</v>
          </cell>
          <cell r="P30">
            <v>0.12520999999999999</v>
          </cell>
          <cell r="AJ30">
            <v>2852.6</v>
          </cell>
          <cell r="BF30">
            <v>47616852.5</v>
          </cell>
          <cell r="BG30">
            <v>57061775.600000001</v>
          </cell>
          <cell r="BH30">
            <v>57473735.799999997</v>
          </cell>
        </row>
        <row r="31">
          <cell r="O31">
            <v>10560093.333273401</v>
          </cell>
          <cell r="P31">
            <v>7.3254935842921962E-2</v>
          </cell>
          <cell r="AD31">
            <v>25780.5</v>
          </cell>
          <cell r="AJ31">
            <v>28119.5</v>
          </cell>
          <cell r="BF31">
            <v>294365371.39999998</v>
          </cell>
          <cell r="BG31">
            <v>352753487</v>
          </cell>
          <cell r="BH31">
            <v>355101229.5</v>
          </cell>
        </row>
        <row r="32">
          <cell r="O32">
            <v>400330</v>
          </cell>
          <cell r="P32">
            <v>2.777E-3</v>
          </cell>
          <cell r="AD32">
            <v>47678.6</v>
          </cell>
          <cell r="AJ32">
            <v>57450.2</v>
          </cell>
          <cell r="BF32">
            <v>22999076</v>
          </cell>
          <cell r="BG32">
            <v>27561000.899999999</v>
          </cell>
          <cell r="BH32">
            <v>27561000.899999999</v>
          </cell>
        </row>
        <row r="33">
          <cell r="O33">
            <v>10159763.333273401</v>
          </cell>
          <cell r="P33">
            <v>7.047793584292196E-2</v>
          </cell>
          <cell r="AD33">
            <v>25048.5</v>
          </cell>
          <cell r="AJ33">
            <v>27321.1</v>
          </cell>
          <cell r="BF33">
            <v>271366295.39999998</v>
          </cell>
          <cell r="BG33">
            <v>325192486.10000002</v>
          </cell>
          <cell r="BH33">
            <v>327540228.60000002</v>
          </cell>
        </row>
        <row r="36">
          <cell r="O36">
            <v>1690435.9855760003</v>
          </cell>
          <cell r="P36">
            <v>1.1726000000000002E-2</v>
          </cell>
          <cell r="AD36">
            <v>77506.3</v>
          </cell>
          <cell r="AJ36">
            <v>84538.2</v>
          </cell>
          <cell r="BF36">
            <v>133053435.7</v>
          </cell>
          <cell r="BG36">
            <v>159444921.09999999</v>
          </cell>
          <cell r="BH36">
            <v>160501758.90000001</v>
          </cell>
        </row>
        <row r="37">
          <cell r="O37">
            <v>109918</v>
          </cell>
          <cell r="P37">
            <v>7.6199999999999998E-4</v>
          </cell>
          <cell r="AD37">
            <v>83937.5</v>
          </cell>
          <cell r="AJ37">
            <v>99208.9</v>
          </cell>
          <cell r="BF37">
            <v>10897729.4</v>
          </cell>
          <cell r="BG37">
            <v>13059321.6</v>
          </cell>
          <cell r="BH37">
            <v>13059321.6</v>
          </cell>
        </row>
        <row r="39">
          <cell r="O39">
            <v>1580517.9855760003</v>
          </cell>
          <cell r="P39">
            <v>1.0964000000000002E-2</v>
          </cell>
          <cell r="AD39">
            <v>77273.100000000006</v>
          </cell>
          <cell r="AJ39">
            <v>84283.8</v>
          </cell>
          <cell r="BF39">
            <v>122155706.3</v>
          </cell>
          <cell r="BG39">
            <v>146385599.5</v>
          </cell>
          <cell r="BH39">
            <v>147442437.30000001</v>
          </cell>
        </row>
        <row r="41">
          <cell r="O41">
            <v>91477.931039999996</v>
          </cell>
          <cell r="P41">
            <v>6.3499999999999993E-4</v>
          </cell>
          <cell r="AD41">
            <v>127328.6</v>
          </cell>
          <cell r="AJ41">
            <v>138880.70000000001</v>
          </cell>
          <cell r="BF41">
            <v>9925198</v>
          </cell>
          <cell r="BG41">
            <v>11893886.1</v>
          </cell>
          <cell r="BH41">
            <v>11969612.6</v>
          </cell>
        </row>
        <row r="42">
          <cell r="O42">
            <v>10751</v>
          </cell>
          <cell r="P42">
            <v>7.4999999999999993E-5</v>
          </cell>
          <cell r="AD42">
            <v>151989.9</v>
          </cell>
          <cell r="AJ42">
            <v>111208.4</v>
          </cell>
          <cell r="BF42">
            <v>1172267.5</v>
          </cell>
          <cell r="BG42">
            <v>1404789.7</v>
          </cell>
          <cell r="BH42">
            <v>1404789.7</v>
          </cell>
        </row>
        <row r="43">
          <cell r="O43">
            <v>80726.931039999996</v>
          </cell>
          <cell r="P43">
            <v>5.5999999999999995E-4</v>
          </cell>
          <cell r="AD43">
            <v>124728.5</v>
          </cell>
          <cell r="AJ43">
            <v>108016.6</v>
          </cell>
          <cell r="BF43">
            <v>8752930.5</v>
          </cell>
          <cell r="BG43">
            <v>10489096.4</v>
          </cell>
          <cell r="BH43">
            <v>10564822.9</v>
          </cell>
        </row>
        <row r="44">
          <cell r="O44">
            <v>40000</v>
          </cell>
          <cell r="P44">
            <v>2.7700000000000001E-4</v>
          </cell>
          <cell r="AJ44">
            <v>142711.1</v>
          </cell>
          <cell r="BF44">
            <v>5698596.9000000004</v>
          </cell>
          <cell r="BG44">
            <v>6828928</v>
          </cell>
          <cell r="BH44">
            <v>6878229.7999999998</v>
          </cell>
        </row>
        <row r="45">
          <cell r="O45">
            <v>40000</v>
          </cell>
          <cell r="P45">
            <v>2.7700000000000001E-4</v>
          </cell>
          <cell r="AJ45">
            <v>142711.1</v>
          </cell>
          <cell r="BF45">
            <v>5698596.9000000004</v>
          </cell>
          <cell r="BG45">
            <v>6828928</v>
          </cell>
          <cell r="BH45">
            <v>6878229.7999999998</v>
          </cell>
        </row>
        <row r="46">
          <cell r="O46">
            <v>8738179.4166574012</v>
          </cell>
          <cell r="P46">
            <v>6.0616935842921965E-2</v>
          </cell>
          <cell r="AD46">
            <v>15102.1</v>
          </cell>
          <cell r="AJ46">
            <v>16472.3</v>
          </cell>
          <cell r="BF46">
            <v>151386737.69999999</v>
          </cell>
          <cell r="BG46">
            <v>181414679.80000001</v>
          </cell>
          <cell r="BH46">
            <v>182629858</v>
          </cell>
        </row>
        <row r="47">
          <cell r="O47">
            <v>279662</v>
          </cell>
          <cell r="P47">
            <v>1.9400058689509701E-3</v>
          </cell>
          <cell r="AD47">
            <v>36748.300000000003</v>
          </cell>
          <cell r="AJ47">
            <v>40082.300000000003</v>
          </cell>
          <cell r="BF47">
            <v>10929079.1</v>
          </cell>
          <cell r="BG47">
            <v>13096889.6</v>
          </cell>
          <cell r="BH47">
            <v>13096889.6</v>
          </cell>
        </row>
        <row r="48">
          <cell r="O48">
            <v>8458518.4166574012</v>
          </cell>
          <cell r="P48">
            <v>5.8676935842921961E-2</v>
          </cell>
          <cell r="AD48">
            <v>14405</v>
          </cell>
          <cell r="AJ48">
            <v>15711.9</v>
          </cell>
          <cell r="BF48">
            <v>134759061.69999999</v>
          </cell>
          <cell r="BG48">
            <v>161488862.19999999</v>
          </cell>
          <cell r="BH48">
            <v>162654738.59999999</v>
          </cell>
        </row>
        <row r="49">
          <cell r="O49">
            <v>5018923.0866370602</v>
          </cell>
          <cell r="P49">
            <v>3.4816100306403447E-2</v>
          </cell>
          <cell r="AJ49">
            <v>0</v>
          </cell>
          <cell r="BF49">
            <v>91450384.200000003</v>
          </cell>
          <cell r="BG49">
            <v>109589799.09999999</v>
          </cell>
          <cell r="BH49">
            <v>110380987.8</v>
          </cell>
        </row>
        <row r="50">
          <cell r="O50">
            <v>3439595.3300203411</v>
          </cell>
          <cell r="P50">
            <v>2.3860835536518511E-2</v>
          </cell>
          <cell r="AJ50">
            <v>0</v>
          </cell>
          <cell r="BF50">
            <v>43308677.499999993</v>
          </cell>
          <cell r="BH50">
            <v>52273750.800000004</v>
          </cell>
        </row>
        <row r="51">
          <cell r="O51">
            <v>26353955.703644328</v>
          </cell>
          <cell r="P51">
            <v>0.1828163625</v>
          </cell>
          <cell r="AD51">
            <v>41858.1</v>
          </cell>
          <cell r="AJ51">
            <v>47083.4</v>
          </cell>
          <cell r="AV51">
            <v>8321.3982209512506</v>
          </cell>
          <cell r="BF51">
            <v>1199574651.3</v>
          </cell>
          <cell r="BG51">
            <v>1437513316.0999999</v>
          </cell>
          <cell r="BH51">
            <v>1446688530.6999998</v>
          </cell>
        </row>
        <row r="52">
          <cell r="O52">
            <v>1738244</v>
          </cell>
          <cell r="P52">
            <v>1.2057999999999999E-2</v>
          </cell>
          <cell r="AD52">
            <v>72505.399999999994</v>
          </cell>
          <cell r="AJ52">
            <v>81556.5</v>
          </cell>
          <cell r="AV52">
            <v>964.63276519999988</v>
          </cell>
          <cell r="BF52">
            <v>139058405.5</v>
          </cell>
          <cell r="BH52">
            <v>166641083.39999998</v>
          </cell>
        </row>
        <row r="53">
          <cell r="O53">
            <v>24615711.703644328</v>
          </cell>
          <cell r="P53">
            <v>0.17075836250000001</v>
          </cell>
          <cell r="AD53">
            <v>39951.5</v>
          </cell>
          <cell r="AJ53">
            <v>44938.8</v>
          </cell>
          <cell r="AV53">
            <v>7356.7654557512506</v>
          </cell>
          <cell r="BF53">
            <v>1060516245.8</v>
          </cell>
          <cell r="BG53">
            <v>1270872324.3</v>
          </cell>
          <cell r="BH53">
            <v>1280047447.3</v>
          </cell>
        </row>
        <row r="54">
          <cell r="O54">
            <v>1518838.6186840001</v>
          </cell>
          <cell r="P54">
            <v>1.0536E-2</v>
          </cell>
          <cell r="AD54">
            <v>104007.1</v>
          </cell>
          <cell r="AJ54">
            <v>116990.7</v>
          </cell>
          <cell r="AV54">
            <v>1030.3348702000001</v>
          </cell>
          <cell r="BF54">
            <v>148528164.30000001</v>
          </cell>
          <cell r="BG54">
            <v>177989101.19999999</v>
          </cell>
          <cell r="BH54">
            <v>179039595.59999999</v>
          </cell>
        </row>
        <row r="55">
          <cell r="O55">
            <v>232109</v>
          </cell>
          <cell r="P55">
            <v>1.6100000000000001E-3</v>
          </cell>
          <cell r="AD55">
            <v>117843.5</v>
          </cell>
          <cell r="AJ55">
            <v>132554.4</v>
          </cell>
          <cell r="AV55">
            <v>188.03109500000002</v>
          </cell>
          <cell r="BF55">
            <v>27105666.5</v>
          </cell>
          <cell r="BG55">
            <v>32482144</v>
          </cell>
          <cell r="BH55">
            <v>32482144</v>
          </cell>
        </row>
        <row r="57">
          <cell r="O57">
            <v>1286729.6186840001</v>
          </cell>
          <cell r="P57">
            <v>8.9259999999999999E-3</v>
          </cell>
          <cell r="AD57">
            <v>102247.4</v>
          </cell>
          <cell r="AJ57">
            <v>115011.3</v>
          </cell>
          <cell r="AV57">
            <v>842.30377520000002</v>
          </cell>
          <cell r="BF57">
            <v>121422497.8</v>
          </cell>
          <cell r="BG57">
            <v>145506957.19999999</v>
          </cell>
          <cell r="BH57">
            <v>146557451.59999999</v>
          </cell>
        </row>
        <row r="62">
          <cell r="O62">
            <v>24835117.084960327</v>
          </cell>
          <cell r="P62">
            <v>0.17228036250000001</v>
          </cell>
          <cell r="AD62">
            <v>38208.800000000003</v>
          </cell>
          <cell r="AJ62">
            <v>43159.5</v>
          </cell>
          <cell r="BF62">
            <v>1051046487</v>
          </cell>
          <cell r="BG62">
            <v>1259524214.8999999</v>
          </cell>
          <cell r="BH62">
            <v>1267648935.0999999</v>
          </cell>
        </row>
        <row r="63">
          <cell r="O63">
            <v>1506135</v>
          </cell>
          <cell r="P63">
            <v>1.0448000000000001E-2</v>
          </cell>
          <cell r="AD63">
            <v>67081.7</v>
          </cell>
          <cell r="AJ63">
            <v>75455.8</v>
          </cell>
          <cell r="BF63">
            <v>111952739</v>
          </cell>
          <cell r="BH63">
            <v>134158939.39999999</v>
          </cell>
        </row>
        <row r="64">
          <cell r="O64">
            <v>23328982.084960327</v>
          </cell>
          <cell r="P64">
            <v>0.16183236250000002</v>
          </cell>
          <cell r="AD64">
            <v>36516</v>
          </cell>
          <cell r="AJ64">
            <v>41074.400000000001</v>
          </cell>
          <cell r="BF64">
            <v>939093748</v>
          </cell>
          <cell r="BG64">
            <v>1125365367.0999999</v>
          </cell>
          <cell r="BH64">
            <v>1133489995.7</v>
          </cell>
        </row>
        <row r="65">
          <cell r="O65" t="str">
            <v>X</v>
          </cell>
          <cell r="P65" t="str">
            <v>X</v>
          </cell>
          <cell r="AD65" t="str">
            <v>X</v>
          </cell>
          <cell r="AJ65" t="str">
            <v>X</v>
          </cell>
          <cell r="AK65" t="str">
            <v>X</v>
          </cell>
        </row>
        <row r="66">
          <cell r="O66">
            <v>449187.70914399996</v>
          </cell>
          <cell r="P66">
            <v>3.1159999999999998E-3</v>
          </cell>
          <cell r="AD66">
            <v>19906</v>
          </cell>
          <cell r="AJ66">
            <v>22843.4</v>
          </cell>
          <cell r="AV66">
            <v>67.364492400000003</v>
          </cell>
          <cell r="BF66">
            <v>9710944.1999999993</v>
          </cell>
          <cell r="BG66">
            <v>11637134.5</v>
          </cell>
          <cell r="BH66">
            <v>11721149.300000001</v>
          </cell>
        </row>
        <row r="67">
          <cell r="O67">
            <v>393300.76363399997</v>
          </cell>
          <cell r="P67">
            <v>2.728E-3</v>
          </cell>
          <cell r="AD67">
            <v>24094.1</v>
          </cell>
          <cell r="AJ67">
            <v>26280.1</v>
          </cell>
          <cell r="AV67">
            <v>69.984429199999994</v>
          </cell>
          <cell r="BF67">
            <v>10088621.799999999</v>
          </cell>
          <cell r="BG67">
            <v>12089725.4</v>
          </cell>
          <cell r="BH67">
            <v>12172219.300000001</v>
          </cell>
        </row>
        <row r="68">
          <cell r="O68">
            <v>18353</v>
          </cell>
          <cell r="P68">
            <v>1.27E-4</v>
          </cell>
          <cell r="AD68">
            <v>26212.1</v>
          </cell>
          <cell r="AJ68">
            <v>28590.2</v>
          </cell>
          <cell r="AV68">
            <v>3.8394385999999998</v>
          </cell>
          <cell r="BF68">
            <v>553475.19999999995</v>
          </cell>
          <cell r="BG68">
            <v>663258.4</v>
          </cell>
          <cell r="BH68">
            <v>663258.4</v>
          </cell>
        </row>
        <row r="69">
          <cell r="O69">
            <v>374947.76363399997</v>
          </cell>
          <cell r="P69">
            <v>2.601E-3</v>
          </cell>
          <cell r="AD69">
            <v>23913.5</v>
          </cell>
          <cell r="AJ69">
            <v>26083.1</v>
          </cell>
          <cell r="AV69">
            <v>66.1449906</v>
          </cell>
          <cell r="BF69">
            <v>9535146.5999999996</v>
          </cell>
          <cell r="BG69">
            <v>11426467</v>
          </cell>
          <cell r="BH69">
            <v>11508960.9</v>
          </cell>
        </row>
        <row r="70">
          <cell r="O70">
            <v>962380.34218400007</v>
          </cell>
          <cell r="P70">
            <v>6.6760000000000005E-3</v>
          </cell>
          <cell r="AD70">
            <v>47371.6</v>
          </cell>
          <cell r="AJ70">
            <v>53684.2</v>
          </cell>
          <cell r="AV70">
            <v>364.1051228</v>
          </cell>
          <cell r="BF70">
            <v>52487659.199999996</v>
          </cell>
          <cell r="BG70">
            <v>62898719.100000001</v>
          </cell>
          <cell r="BH70">
            <v>63216742.600000001</v>
          </cell>
        </row>
        <row r="71">
          <cell r="O71">
            <v>180181</v>
          </cell>
          <cell r="P71">
            <v>1.25E-3</v>
          </cell>
          <cell r="AD71">
            <v>62615.3</v>
          </cell>
          <cell r="AJ71">
            <v>87286.9</v>
          </cell>
          <cell r="AV71">
            <v>109.10862499999999</v>
          </cell>
          <cell r="BF71">
            <v>15728579.4</v>
          </cell>
          <cell r="BG71">
            <v>18848382.899999999</v>
          </cell>
          <cell r="BH71">
            <v>18848382.899999999</v>
          </cell>
        </row>
        <row r="72">
          <cell r="O72">
            <v>782186.29968400009</v>
          </cell>
          <cell r="P72">
            <v>5.4260000000000003E-3</v>
          </cell>
          <cell r="AD72">
            <v>43499.8</v>
          </cell>
          <cell r="AJ72">
            <v>49296.5</v>
          </cell>
          <cell r="AV72">
            <v>254.99649780000001</v>
          </cell>
          <cell r="BF72">
            <v>36759079.799999997</v>
          </cell>
          <cell r="BG72">
            <v>44050336.200000003</v>
          </cell>
          <cell r="BH72">
            <v>44368359.700000003</v>
          </cell>
        </row>
        <row r="73">
          <cell r="P73" t="str">
            <v>x</v>
          </cell>
          <cell r="AI73" t="str">
            <v>x</v>
          </cell>
          <cell r="AV73">
            <v>280.79149999999998</v>
          </cell>
          <cell r="BF73">
            <v>40477215.5</v>
          </cell>
          <cell r="BH73">
            <v>48856164.700000003</v>
          </cell>
        </row>
        <row r="74">
          <cell r="BG74">
            <v>48505973.5</v>
          </cell>
          <cell r="BH74">
            <v>48856164.700000003</v>
          </cell>
        </row>
        <row r="81">
          <cell r="BG81">
            <v>3097816173.0064225</v>
          </cell>
          <cell r="BH81">
            <v>3120181003.6999998</v>
          </cell>
        </row>
        <row r="83">
          <cell r="BG83">
            <v>213713660.95817664</v>
          </cell>
          <cell r="BH83">
            <v>213713660.95817664</v>
          </cell>
        </row>
      </sheetData>
      <sheetData sheetId="5" refreshError="1"/>
      <sheetData sheetId="6">
        <row r="10">
          <cell r="B10">
            <v>1.132158</v>
          </cell>
          <cell r="O10">
            <v>0.7</v>
          </cell>
        </row>
        <row r="11">
          <cell r="B11">
            <v>1.0445660000000001</v>
          </cell>
          <cell r="O11">
            <v>0.3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file:///C:\Users\SheenkoON\AppData\Local\Microsoft\Windows\&#1050;&#1057;&#1043;\&#1054;&#1090;&#1076;&#1077;&#1083;&#1100;&#1085;&#1099;&#1077;%20&#1087;&#1086;&#1088;&#1091;&#1095;&#1077;&#1085;&#1080;&#1103;\&#1069;&#1085;&#1076;&#1086;&#1082;&#1088;&#1080;&#1085;&#1086;&#1083;&#1086;&#1075;&#1080;&#1103;\!!!&#1056;&#1072;&#1089;&#1095;&#1077;&#1090;&#1099;%20&#1096;&#1082;&#1086;&#1083;%20&#1076;&#1080;&#1072;&#1073;&#1077;&#1090;&#1072;%20&#1076;&#1083;&#1103;%20&#1052;&#1056;%20&#1080;%20&#1076;&#1086;&#1082;&#1083;&#1072;&#1076;&#1072;%20&#1087;&#1088;&#1077;&#1079;&#1080;&#1076;&#1077;&#1085;&#1090;&#1091;\&#1088;&#1072;&#1089;&#1095;&#1077;&#1090;&#1099;%20&#1076;&#1080;&#1072;&#1073;&#1077;&#1090;&#1072;.xlsx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H99"/>
  <sheetViews>
    <sheetView zoomScale="70" zoomScaleNormal="70" workbookViewId="0">
      <pane xSplit="3" ySplit="6" topLeftCell="W34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8.85546875" defaultRowHeight="12.75" x14ac:dyDescent="0.2"/>
  <cols>
    <col min="1" max="1" width="39.5703125" style="2" customWidth="1"/>
    <col min="2" max="2" width="23.140625" style="2" customWidth="1"/>
    <col min="3" max="3" width="13.7109375" style="2" customWidth="1"/>
    <col min="4" max="6" width="15.42578125" style="2" hidden="1" customWidth="1"/>
    <col min="7" max="7" width="16.140625" style="2" hidden="1" customWidth="1"/>
    <col min="8" max="10" width="16.5703125" style="2" hidden="1" customWidth="1"/>
    <col min="11" max="11" width="16.42578125" style="2" customWidth="1"/>
    <col min="12" max="12" width="19.5703125" style="2" customWidth="1"/>
    <col min="13" max="14" width="24" style="2" customWidth="1"/>
    <col min="15" max="16" width="15.42578125" style="2" customWidth="1"/>
    <col min="17" max="17" width="16.28515625" style="2" customWidth="1"/>
    <col min="18" max="18" width="17.28515625" style="2" customWidth="1"/>
    <col min="19" max="19" width="20.140625" style="2" customWidth="1"/>
    <col min="20" max="20" width="15.5703125" style="72" customWidth="1"/>
    <col min="21" max="22" width="15.5703125" style="2" customWidth="1"/>
    <col min="23" max="23" width="18.140625" style="498" customWidth="1"/>
    <col min="24" max="26" width="25" style="498" customWidth="1"/>
    <col min="27" max="27" width="12" style="2" customWidth="1"/>
    <col min="28" max="28" width="14.42578125" style="2" customWidth="1"/>
    <col min="29" max="29" width="18.140625" style="2" customWidth="1"/>
    <col min="30" max="32" width="25" style="2" customWidth="1"/>
    <col min="33" max="33" width="12" style="2" customWidth="1"/>
    <col min="34" max="34" width="14.42578125" style="2" customWidth="1"/>
    <col min="35" max="16384" width="8.85546875" style="1"/>
  </cols>
  <sheetData>
    <row r="1" spans="1:34" ht="14.25" customHeight="1" x14ac:dyDescent="0.2">
      <c r="A1" s="1404" t="s">
        <v>0</v>
      </c>
      <c r="B1" s="1404"/>
      <c r="C1" s="1404"/>
      <c r="D1" s="1404"/>
      <c r="E1" s="1404"/>
      <c r="F1" s="1404"/>
      <c r="G1" s="1404"/>
      <c r="H1" s="1404"/>
      <c r="I1" s="1404"/>
      <c r="J1" s="1404"/>
      <c r="K1" s="1404"/>
      <c r="L1" s="1404"/>
      <c r="M1" s="1404"/>
      <c r="N1" s="1404"/>
      <c r="O1" s="1404"/>
      <c r="P1" s="1404"/>
      <c r="Q1" s="1404"/>
      <c r="R1" s="1404"/>
      <c r="S1" s="1404"/>
      <c r="T1" s="1404"/>
      <c r="U1" s="1404"/>
      <c r="V1" s="1404"/>
      <c r="W1" s="1404"/>
      <c r="X1" s="1404"/>
      <c r="Y1" s="484"/>
      <c r="Z1" s="484"/>
      <c r="AC1" s="1"/>
      <c r="AD1" s="1"/>
      <c r="AE1" s="55"/>
      <c r="AF1" s="55"/>
    </row>
    <row r="2" spans="1:34" ht="15" customHeight="1" x14ac:dyDescent="0.25">
      <c r="A2" s="28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6"/>
      <c r="U2" s="4"/>
      <c r="V2" s="4"/>
      <c r="W2" s="485"/>
      <c r="X2" s="486"/>
      <c r="Y2" s="486"/>
      <c r="Z2" s="486"/>
      <c r="AC2" s="4"/>
      <c r="AD2" s="35"/>
      <c r="AE2" s="35"/>
      <c r="AF2" s="35"/>
    </row>
    <row r="3" spans="1:34" ht="13.15" customHeight="1" x14ac:dyDescent="0.2">
      <c r="A3" s="41"/>
      <c r="B3" s="1405"/>
      <c r="C3" s="1405"/>
      <c r="D3" s="1405">
        <v>2018</v>
      </c>
      <c r="E3" s="1405"/>
      <c r="F3" s="1406"/>
      <c r="G3" s="1408">
        <v>2019</v>
      </c>
      <c r="H3" s="1409"/>
      <c r="I3" s="1410"/>
      <c r="J3" s="1411"/>
      <c r="K3" s="1408">
        <v>2020</v>
      </c>
      <c r="L3" s="1409"/>
      <c r="M3" s="1409"/>
      <c r="N3" s="1409"/>
      <c r="O3" s="1410"/>
      <c r="P3" s="1411"/>
      <c r="Q3" s="1408">
        <v>2021</v>
      </c>
      <c r="R3" s="1409"/>
      <c r="S3" s="1409"/>
      <c r="T3" s="1409"/>
      <c r="U3" s="1410"/>
      <c r="V3" s="1411"/>
      <c r="W3" s="1405">
        <v>2022</v>
      </c>
      <c r="X3" s="1405"/>
      <c r="Y3" s="1405"/>
      <c r="Z3" s="1405"/>
      <c r="AA3" s="1407"/>
      <c r="AB3" s="1407"/>
      <c r="AC3" s="1405">
        <v>2023</v>
      </c>
      <c r="AD3" s="1405"/>
      <c r="AE3" s="1405"/>
      <c r="AF3" s="1405"/>
      <c r="AG3" s="1407"/>
      <c r="AH3" s="1407"/>
    </row>
    <row r="4" spans="1:34" s="50" customFormat="1" ht="13.15" customHeight="1" x14ac:dyDescent="0.2">
      <c r="A4" s="42" t="s">
        <v>122</v>
      </c>
      <c r="B4" s="1405"/>
      <c r="C4" s="1405"/>
      <c r="D4" s="43"/>
      <c r="E4" s="43"/>
      <c r="F4" s="44"/>
      <c r="G4" s="45"/>
      <c r="H4" s="46"/>
      <c r="I4" s="47"/>
      <c r="J4" s="48"/>
      <c r="K4" s="53">
        <v>146090668</v>
      </c>
      <c r="L4" s="46"/>
      <c r="M4" s="46"/>
      <c r="N4" s="46">
        <v>1.1995410021466899</v>
      </c>
      <c r="O4" s="47"/>
      <c r="P4" s="48"/>
      <c r="Q4" s="53">
        <v>145483637</v>
      </c>
      <c r="R4" s="46"/>
      <c r="S4" s="46"/>
      <c r="T4" s="73">
        <v>1.19661420414655</v>
      </c>
      <c r="U4" s="47"/>
      <c r="V4" s="48"/>
      <c r="W4" s="487">
        <v>145065530</v>
      </c>
      <c r="X4" s="488"/>
      <c r="Y4" s="488"/>
      <c r="Z4" s="488">
        <v>1.2012733644884057</v>
      </c>
      <c r="AA4" s="49"/>
      <c r="AB4" s="49"/>
      <c r="AC4" s="53">
        <v>144155234</v>
      </c>
      <c r="AD4" s="43"/>
      <c r="AE4" s="43"/>
      <c r="AF4" s="43">
        <v>1.1983525281704299</v>
      </c>
      <c r="AG4" s="49"/>
      <c r="AH4" s="49"/>
    </row>
    <row r="5" spans="1:34" ht="107.25" customHeight="1" x14ac:dyDescent="0.2">
      <c r="A5" s="41"/>
      <c r="B5" s="1405"/>
      <c r="C5" s="1405"/>
      <c r="D5" s="7" t="s">
        <v>79</v>
      </c>
      <c r="E5" s="7" t="s">
        <v>80</v>
      </c>
      <c r="F5" s="7" t="s">
        <v>81</v>
      </c>
      <c r="G5" s="7" t="s">
        <v>79</v>
      </c>
      <c r="H5" s="7" t="s">
        <v>80</v>
      </c>
      <c r="I5" s="7" t="s">
        <v>81</v>
      </c>
      <c r="J5" s="7" t="s">
        <v>82</v>
      </c>
      <c r="K5" s="7" t="s">
        <v>79</v>
      </c>
      <c r="L5" s="7" t="s">
        <v>80</v>
      </c>
      <c r="M5" s="7" t="s">
        <v>124</v>
      </c>
      <c r="N5" s="57" t="s">
        <v>131</v>
      </c>
      <c r="O5" s="7" t="s">
        <v>81</v>
      </c>
      <c r="P5" s="7" t="s">
        <v>82</v>
      </c>
      <c r="Q5" s="7" t="s">
        <v>79</v>
      </c>
      <c r="R5" s="7" t="s">
        <v>80</v>
      </c>
      <c r="S5" s="7" t="s">
        <v>124</v>
      </c>
      <c r="T5" s="57" t="s">
        <v>131</v>
      </c>
      <c r="U5" s="7" t="s">
        <v>81</v>
      </c>
      <c r="V5" s="7" t="s">
        <v>82</v>
      </c>
      <c r="W5" s="488" t="s">
        <v>79</v>
      </c>
      <c r="X5" s="488" t="s">
        <v>80</v>
      </c>
      <c r="Y5" s="488" t="s">
        <v>124</v>
      </c>
      <c r="Z5" s="489" t="s">
        <v>131</v>
      </c>
      <c r="AA5" s="7" t="s">
        <v>81</v>
      </c>
      <c r="AB5" s="7" t="s">
        <v>82</v>
      </c>
      <c r="AC5" s="7" t="s">
        <v>79</v>
      </c>
      <c r="AD5" s="7" t="s">
        <v>80</v>
      </c>
      <c r="AE5" s="7" t="s">
        <v>124</v>
      </c>
      <c r="AF5" s="57" t="s">
        <v>131</v>
      </c>
      <c r="AG5" s="7" t="s">
        <v>81</v>
      </c>
      <c r="AH5" s="7" t="s">
        <v>82</v>
      </c>
    </row>
    <row r="6" spans="1:34" x14ac:dyDescent="0.2">
      <c r="A6" s="5">
        <v>1</v>
      </c>
      <c r="B6" s="5">
        <v>2</v>
      </c>
      <c r="C6" s="5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8"/>
      <c r="U6" s="5"/>
      <c r="V6" s="5"/>
      <c r="W6" s="490">
        <v>13</v>
      </c>
      <c r="X6" s="490">
        <v>15</v>
      </c>
      <c r="Y6" s="490"/>
      <c r="Z6" s="490"/>
      <c r="AA6" s="37"/>
      <c r="AB6" s="37"/>
      <c r="AC6" s="5">
        <v>13</v>
      </c>
      <c r="AD6" s="5">
        <v>15</v>
      </c>
      <c r="AE6" s="5"/>
      <c r="AF6" s="5"/>
      <c r="AG6" s="37"/>
      <c r="AH6" s="37"/>
    </row>
    <row r="7" spans="1:34" ht="51" customHeight="1" x14ac:dyDescent="0.2">
      <c r="A7" s="6" t="s">
        <v>2</v>
      </c>
      <c r="B7" s="7"/>
      <c r="C7" s="7" t="s">
        <v>3</v>
      </c>
      <c r="D7" s="36">
        <v>1910851960065</v>
      </c>
      <c r="E7" s="36">
        <v>1880720518052</v>
      </c>
      <c r="F7" s="38">
        <f>E7/D7*100</f>
        <v>98.423140952689238</v>
      </c>
      <c r="G7" s="36">
        <v>2103340620576</v>
      </c>
      <c r="H7" s="36">
        <v>2091430891434</v>
      </c>
      <c r="I7" s="38">
        <f>H7/G7*100</f>
        <v>99.433770782274038</v>
      </c>
      <c r="J7" s="38">
        <f>H7/E7*100</f>
        <v>111.20370471633116</v>
      </c>
      <c r="K7" s="36">
        <v>2274188947182</v>
      </c>
      <c r="L7" s="36">
        <v>2263143122295</v>
      </c>
      <c r="M7" s="36"/>
      <c r="N7" s="36"/>
      <c r="O7" s="38">
        <f>L7/K7*100</f>
        <v>99.514296079018095</v>
      </c>
      <c r="P7" s="38">
        <f>L7/H7*100</f>
        <v>108.21027515488521</v>
      </c>
      <c r="Q7" s="36">
        <v>2352987178559</v>
      </c>
      <c r="R7" s="36">
        <v>2525005385972</v>
      </c>
      <c r="S7" s="36"/>
      <c r="T7" s="59"/>
      <c r="U7" s="38">
        <f>R7/Q7*100</f>
        <v>107.31063088572994</v>
      </c>
      <c r="V7" s="38">
        <f>R7/L7*100</f>
        <v>111.57073368879347</v>
      </c>
      <c r="W7" s="491">
        <v>2515736380586</v>
      </c>
      <c r="X7" s="491">
        <v>2552720800656</v>
      </c>
      <c r="Y7" s="492"/>
      <c r="Z7" s="493"/>
      <c r="AA7" s="40">
        <f>X7/W7*100</f>
        <v>101.47012303655541</v>
      </c>
      <c r="AB7" s="40">
        <f>X7/R7*100</f>
        <v>101.09763784417953</v>
      </c>
      <c r="AC7" s="80">
        <v>2779624066883</v>
      </c>
      <c r="AD7" s="80">
        <v>2746193444090</v>
      </c>
      <c r="AE7" s="36"/>
      <c r="AF7" s="59"/>
      <c r="AG7" s="40">
        <f>AD7/AC7*100</f>
        <v>98.797296972950434</v>
      </c>
      <c r="AH7" s="40">
        <f>AD7/X7*100</f>
        <v>107.57907576043104</v>
      </c>
    </row>
    <row r="8" spans="1:34" ht="18.75" customHeight="1" x14ac:dyDescent="0.2">
      <c r="A8" s="1400" t="s">
        <v>4</v>
      </c>
      <c r="B8" s="7" t="s">
        <v>5</v>
      </c>
      <c r="C8" s="7" t="s">
        <v>6</v>
      </c>
      <c r="D8" s="36">
        <v>43073392</v>
      </c>
      <c r="E8" s="36">
        <v>39087077</v>
      </c>
      <c r="F8" s="38">
        <f t="shared" ref="F8:F11" si="0">E8/D8*100</f>
        <v>90.745295842964964</v>
      </c>
      <c r="G8" s="36">
        <v>42946388</v>
      </c>
      <c r="H8" s="36">
        <v>38750770</v>
      </c>
      <c r="I8" s="38">
        <f t="shared" ref="I8:I13" si="1">H8/G8*100</f>
        <v>90.230568400769812</v>
      </c>
      <c r="J8" s="38">
        <f t="shared" ref="J8:J11" si="2">H8/E8*100</f>
        <v>99.139595421780967</v>
      </c>
      <c r="K8" s="36">
        <v>41585499</v>
      </c>
      <c r="L8" s="36">
        <v>38531765</v>
      </c>
      <c r="M8" s="52">
        <f>+ROUND(L8/$K$4,5)</f>
        <v>0.26374999999999998</v>
      </c>
      <c r="N8" s="52"/>
      <c r="O8" s="38">
        <f t="shared" ref="O8:O13" si="3">L8/K8*100</f>
        <v>92.656733540698895</v>
      </c>
      <c r="P8" s="38">
        <f t="shared" ref="P8:P21" si="4">L8/H8*100</f>
        <v>99.434837036786632</v>
      </c>
      <c r="Q8" s="36">
        <v>41465223</v>
      </c>
      <c r="R8" s="36">
        <v>39502517</v>
      </c>
      <c r="S8" s="52">
        <f>+ROUND(R8/$Q$4,5)</f>
        <v>0.27152999999999999</v>
      </c>
      <c r="T8" s="59"/>
      <c r="U8" s="38">
        <f t="shared" ref="U8:U13" si="5">R8/Q8*100</f>
        <v>95.266621380524114</v>
      </c>
      <c r="V8" s="38">
        <f t="shared" ref="V8:V13" si="6">R8/L8*100</f>
        <v>102.51935513465318</v>
      </c>
      <c r="W8" s="491">
        <v>41673297</v>
      </c>
      <c r="X8" s="491">
        <v>37198426</v>
      </c>
      <c r="Y8" s="494">
        <f>+ROUND(X8/$W$4,5)</f>
        <v>0.25641999999999998</v>
      </c>
      <c r="Z8" s="493"/>
      <c r="AA8" s="40">
        <f t="shared" ref="AA8:AA13" si="7">X8/W8*100</f>
        <v>89.262018313549802</v>
      </c>
      <c r="AB8" s="40">
        <f t="shared" ref="AB8:AB13" si="8">X8/R8*100</f>
        <v>94.167229900818725</v>
      </c>
      <c r="AC8" s="80">
        <v>41368780</v>
      </c>
      <c r="AD8" s="80">
        <v>35615668</v>
      </c>
      <c r="AE8" s="52">
        <f>+ROUND(AD8/$AC$4,5)</f>
        <v>0.24706</v>
      </c>
      <c r="AF8" s="59"/>
      <c r="AG8" s="40">
        <f t="shared" ref="AG8:AG13" si="9">AD8/AC8*100</f>
        <v>86.093106927494603</v>
      </c>
      <c r="AH8" s="40">
        <f t="shared" ref="AH8:AH13" si="10">AD8/X8*100</f>
        <v>95.745094160704554</v>
      </c>
    </row>
    <row r="9" spans="1:34" ht="34.5" customHeight="1" x14ac:dyDescent="0.2">
      <c r="A9" s="1400"/>
      <c r="B9" s="7" t="s">
        <v>7</v>
      </c>
      <c r="C9" s="7" t="s">
        <v>8</v>
      </c>
      <c r="D9" s="36">
        <v>34355661</v>
      </c>
      <c r="E9" s="36">
        <v>38623272</v>
      </c>
      <c r="F9" s="38">
        <f t="shared" si="0"/>
        <v>112.42185676474104</v>
      </c>
      <c r="G9" s="36">
        <v>34604274</v>
      </c>
      <c r="H9" s="36">
        <v>38400828</v>
      </c>
      <c r="I9" s="38">
        <f t="shared" si="1"/>
        <v>110.97134417557785</v>
      </c>
      <c r="J9" s="38">
        <f t="shared" si="2"/>
        <v>99.424067437890812</v>
      </c>
      <c r="K9" s="36">
        <v>31959488</v>
      </c>
      <c r="L9" s="36">
        <v>37848941</v>
      </c>
      <c r="M9" s="36"/>
      <c r="N9" s="36"/>
      <c r="O9" s="38">
        <f t="shared" si="3"/>
        <v>118.42787030881095</v>
      </c>
      <c r="P9" s="38">
        <f t="shared" si="4"/>
        <v>98.562825259913666</v>
      </c>
      <c r="Q9" s="36">
        <v>32331012</v>
      </c>
      <c r="R9" s="36">
        <v>39032028</v>
      </c>
      <c r="S9" s="36"/>
      <c r="T9" s="59"/>
      <c r="U9" s="38">
        <f t="shared" si="5"/>
        <v>120.72627977126112</v>
      </c>
      <c r="V9" s="38">
        <f t="shared" si="6"/>
        <v>103.12581268786359</v>
      </c>
      <c r="W9" s="491">
        <v>32621150</v>
      </c>
      <c r="X9" s="491">
        <v>36449178</v>
      </c>
      <c r="Y9" s="492"/>
      <c r="Z9" s="493"/>
      <c r="AA9" s="40">
        <f t="shared" si="7"/>
        <v>111.73480395387656</v>
      </c>
      <c r="AB9" s="40">
        <f t="shared" si="8"/>
        <v>93.382741988194923</v>
      </c>
      <c r="AC9" s="80">
        <v>34661221</v>
      </c>
      <c r="AD9" s="80">
        <v>34824321</v>
      </c>
      <c r="AE9" s="36"/>
      <c r="AF9" s="59"/>
      <c r="AG9" s="40">
        <f t="shared" si="9"/>
        <v>100.47055468703772</v>
      </c>
      <c r="AH9" s="40">
        <f t="shared" si="10"/>
        <v>95.542129921283831</v>
      </c>
    </row>
    <row r="10" spans="1:34" ht="16.5" customHeight="1" x14ac:dyDescent="0.2">
      <c r="A10" s="1400"/>
      <c r="B10" s="7"/>
      <c r="C10" s="7" t="s">
        <v>3</v>
      </c>
      <c r="D10" s="36">
        <v>122302307556</v>
      </c>
      <c r="E10" s="36">
        <v>119049371727</v>
      </c>
      <c r="F10" s="38">
        <f t="shared" si="0"/>
        <v>97.340249833380668</v>
      </c>
      <c r="G10" s="36">
        <v>129669363598</v>
      </c>
      <c r="H10" s="36">
        <v>127314212474</v>
      </c>
      <c r="I10" s="38">
        <f t="shared" si="1"/>
        <v>98.183725855783933</v>
      </c>
      <c r="J10" s="38">
        <f t="shared" si="2"/>
        <v>106.94236401847851</v>
      </c>
      <c r="K10" s="36">
        <v>131659267886</v>
      </c>
      <c r="L10" s="36">
        <v>131877638924</v>
      </c>
      <c r="M10" s="38">
        <f>+L10/L8</f>
        <v>3422.5693768245496</v>
      </c>
      <c r="N10" s="38"/>
      <c r="O10" s="38">
        <f t="shared" si="3"/>
        <v>100.1658607415234</v>
      </c>
      <c r="P10" s="38">
        <f t="shared" si="4"/>
        <v>103.58438100611269</v>
      </c>
      <c r="Q10" s="36">
        <v>143709400594</v>
      </c>
      <c r="R10" s="36">
        <v>140267262537</v>
      </c>
      <c r="S10" s="38">
        <f>+R10/R8</f>
        <v>3550.8436724930716</v>
      </c>
      <c r="T10" s="59">
        <f>+S10/$T$4</f>
        <v>2967.4089277802004</v>
      </c>
      <c r="U10" s="38">
        <f t="shared" si="5"/>
        <v>97.604792697782841</v>
      </c>
      <c r="V10" s="38">
        <f t="shared" si="6"/>
        <v>106.36167259396787</v>
      </c>
      <c r="W10" s="491">
        <v>152726703187</v>
      </c>
      <c r="X10" s="491">
        <v>149441740403</v>
      </c>
      <c r="Y10" s="495">
        <f>+X10/X8</f>
        <v>4017.4210705313176</v>
      </c>
      <c r="Z10" s="493">
        <f>+Y10/$Z$4</f>
        <v>3344.3021291346481</v>
      </c>
      <c r="AA10" s="40">
        <f t="shared" si="7"/>
        <v>97.849123489572179</v>
      </c>
      <c r="AB10" s="40">
        <f t="shared" si="8"/>
        <v>106.54071213771634</v>
      </c>
      <c r="AC10" s="80">
        <v>173210980994</v>
      </c>
      <c r="AD10" s="80">
        <v>166162167137</v>
      </c>
      <c r="AE10" s="38">
        <f>+AD10/AD8</f>
        <v>4665.4232945174581</v>
      </c>
      <c r="AF10" s="59">
        <f>+AE10/$AF$4</f>
        <v>3893.1976900322779</v>
      </c>
      <c r="AG10" s="40">
        <f t="shared" si="9"/>
        <v>95.930504049714855</v>
      </c>
      <c r="AH10" s="40">
        <f t="shared" si="10"/>
        <v>111.18859208204479</v>
      </c>
    </row>
    <row r="11" spans="1:34" ht="23.25" customHeight="1" x14ac:dyDescent="0.2">
      <c r="A11" s="6" t="s">
        <v>9</v>
      </c>
      <c r="B11" s="7"/>
      <c r="C11" s="7" t="s">
        <v>3</v>
      </c>
      <c r="D11" s="36">
        <v>194083162207</v>
      </c>
      <c r="E11" s="36">
        <v>254613720607</v>
      </c>
      <c r="F11" s="38">
        <f t="shared" si="0"/>
        <v>131.18794938812928</v>
      </c>
      <c r="G11" s="36">
        <v>751275283380</v>
      </c>
      <c r="H11" s="36">
        <v>734235783458</v>
      </c>
      <c r="I11" s="38">
        <f t="shared" si="1"/>
        <v>97.731923264487151</v>
      </c>
      <c r="J11" s="38">
        <f t="shared" si="2"/>
        <v>288.37243401792307</v>
      </c>
      <c r="K11" s="36">
        <v>805946927488</v>
      </c>
      <c r="L11" s="36">
        <v>765959810408</v>
      </c>
      <c r="M11" s="36"/>
      <c r="N11" s="36"/>
      <c r="O11" s="38">
        <f t="shared" si="3"/>
        <v>95.038492521507209</v>
      </c>
      <c r="P11" s="38">
        <f t="shared" si="4"/>
        <v>104.3206865784436</v>
      </c>
      <c r="Q11" s="36">
        <v>855750357406</v>
      </c>
      <c r="R11" s="36">
        <v>837567374097</v>
      </c>
      <c r="S11" s="36"/>
      <c r="T11" s="59"/>
      <c r="U11" s="38">
        <f t="shared" si="5"/>
        <v>97.875200033323111</v>
      </c>
      <c r="V11" s="38">
        <f t="shared" si="6"/>
        <v>109.34873641096875</v>
      </c>
      <c r="W11" s="491">
        <v>948136873502</v>
      </c>
      <c r="X11" s="491">
        <v>912297697753</v>
      </c>
      <c r="Y11" s="492"/>
      <c r="Z11" s="493"/>
      <c r="AA11" s="40">
        <f t="shared" si="7"/>
        <v>96.220041984378696</v>
      </c>
      <c r="AB11" s="40">
        <f t="shared" si="8"/>
        <v>108.92230595020114</v>
      </c>
      <c r="AC11" s="80">
        <v>1067289165653</v>
      </c>
      <c r="AD11" s="80">
        <v>1022153150797</v>
      </c>
      <c r="AE11" s="36"/>
      <c r="AF11" s="59"/>
      <c r="AG11" s="40">
        <f t="shared" si="9"/>
        <v>95.770966640668149</v>
      </c>
      <c r="AH11" s="40">
        <f t="shared" si="10"/>
        <v>112.04162339931092</v>
      </c>
    </row>
    <row r="12" spans="1:34" ht="16.5" customHeight="1" x14ac:dyDescent="0.2">
      <c r="A12" s="1401" t="s">
        <v>10</v>
      </c>
      <c r="B12" s="7" t="s">
        <v>11</v>
      </c>
      <c r="C12" s="7" t="s">
        <v>6</v>
      </c>
      <c r="D12" s="36"/>
      <c r="E12" s="7"/>
      <c r="F12" s="7"/>
      <c r="G12" s="36">
        <v>411919463</v>
      </c>
      <c r="H12" s="36">
        <v>459025347</v>
      </c>
      <c r="I12" s="38">
        <f t="shared" si="1"/>
        <v>111.4357024203054</v>
      </c>
      <c r="J12" s="38"/>
      <c r="K12" s="36">
        <v>416247376</v>
      </c>
      <c r="L12" s="36">
        <v>362438521</v>
      </c>
      <c r="M12" s="51">
        <f>+ROUND(L12/$K$4,5)</f>
        <v>2.4809100000000002</v>
      </c>
      <c r="N12" s="51"/>
      <c r="O12" s="38">
        <f t="shared" si="3"/>
        <v>87.07286625633887</v>
      </c>
      <c r="P12" s="38">
        <f t="shared" si="4"/>
        <v>78.958280489029292</v>
      </c>
      <c r="Q12" s="36">
        <v>429411445</v>
      </c>
      <c r="R12" s="36">
        <v>461204302</v>
      </c>
      <c r="S12" s="51">
        <f>+ROUND(R12/$Q$4,5)</f>
        <v>3.17015</v>
      </c>
      <c r="T12" s="59"/>
      <c r="U12" s="38">
        <f t="shared" si="5"/>
        <v>107.40382152599588</v>
      </c>
      <c r="V12" s="38">
        <f t="shared" si="6"/>
        <v>127.25035427456675</v>
      </c>
      <c r="W12" s="491">
        <v>423907975</v>
      </c>
      <c r="X12" s="491">
        <v>461865448</v>
      </c>
      <c r="Y12" s="496">
        <f>+ROUND(X12/$W$4,5)</f>
        <v>3.18384</v>
      </c>
      <c r="Z12" s="493"/>
      <c r="AA12" s="40">
        <f t="shared" si="7"/>
        <v>108.95417761366721</v>
      </c>
      <c r="AB12" s="40">
        <f t="shared" si="8"/>
        <v>100.14335208868022</v>
      </c>
      <c r="AC12" s="80">
        <v>408150236</v>
      </c>
      <c r="AD12" s="80">
        <v>482423108</v>
      </c>
      <c r="AE12" s="51">
        <f>+ROUND(AD12/$AC$4,5)</f>
        <v>3.3465500000000001</v>
      </c>
      <c r="AF12" s="59"/>
      <c r="AG12" s="40">
        <f t="shared" si="9"/>
        <v>118.19743453486574</v>
      </c>
      <c r="AH12" s="40">
        <f t="shared" si="10"/>
        <v>104.4510062592948</v>
      </c>
    </row>
    <row r="13" spans="1:34" ht="16.5" customHeight="1" x14ac:dyDescent="0.2">
      <c r="A13" s="1401"/>
      <c r="B13" s="7"/>
      <c r="C13" s="7" t="s">
        <v>3</v>
      </c>
      <c r="D13" s="7"/>
      <c r="E13" s="7"/>
      <c r="F13" s="7"/>
      <c r="G13" s="36">
        <v>249653478000</v>
      </c>
      <c r="H13" s="36">
        <v>301679860755</v>
      </c>
      <c r="I13" s="38">
        <f t="shared" si="1"/>
        <v>120.8394383974895</v>
      </c>
      <c r="J13" s="38"/>
      <c r="K13" s="36">
        <v>269098947523</v>
      </c>
      <c r="L13" s="36">
        <v>287072473298</v>
      </c>
      <c r="M13" s="38">
        <f>+L13/L12</f>
        <v>792.05839518918026</v>
      </c>
      <c r="N13" s="38"/>
      <c r="O13" s="38">
        <f t="shared" si="3"/>
        <v>106.67915127147192</v>
      </c>
      <c r="P13" s="38">
        <f t="shared" si="4"/>
        <v>95.157983890458326</v>
      </c>
      <c r="Q13" s="36">
        <v>293594906550</v>
      </c>
      <c r="R13" s="36">
        <v>336266864496</v>
      </c>
      <c r="S13" s="38">
        <f>+R13/R12</f>
        <v>729.10608820817117</v>
      </c>
      <c r="T13" s="59"/>
      <c r="U13" s="38">
        <f t="shared" si="5"/>
        <v>114.53429776675395</v>
      </c>
      <c r="V13" s="38">
        <f t="shared" si="6"/>
        <v>117.13657552493129</v>
      </c>
      <c r="W13" s="491">
        <v>341851275955</v>
      </c>
      <c r="X13" s="491">
        <v>379932923397</v>
      </c>
      <c r="Y13" s="495">
        <f>+X13/X12</f>
        <v>822.60520903265319</v>
      </c>
      <c r="Z13" s="493"/>
      <c r="AA13" s="40">
        <f t="shared" si="7"/>
        <v>111.13982896088793</v>
      </c>
      <c r="AB13" s="40">
        <f t="shared" si="8"/>
        <v>112.98553723586386</v>
      </c>
      <c r="AC13" s="80">
        <v>382075123227</v>
      </c>
      <c r="AD13" s="80">
        <v>441072748662</v>
      </c>
      <c r="AE13" s="38">
        <f>+AD13/AD12</f>
        <v>914.2861138857387</v>
      </c>
      <c r="AF13" s="59"/>
      <c r="AG13" s="40">
        <f t="shared" si="9"/>
        <v>115.44136790082197</v>
      </c>
      <c r="AH13" s="40">
        <f t="shared" si="10"/>
        <v>116.09226826628914</v>
      </c>
    </row>
    <row r="14" spans="1:34" ht="16.5" customHeight="1" x14ac:dyDescent="0.2">
      <c r="A14" s="1401" t="s">
        <v>12</v>
      </c>
      <c r="B14" s="7" t="s">
        <v>11</v>
      </c>
      <c r="C14" s="7" t="s">
        <v>6</v>
      </c>
      <c r="D14" s="7"/>
      <c r="E14" s="7"/>
      <c r="F14" s="7"/>
      <c r="G14" s="36"/>
      <c r="H14" s="36">
        <v>1019</v>
      </c>
      <c r="I14" s="38"/>
      <c r="J14" s="38"/>
      <c r="K14" s="36">
        <v>0</v>
      </c>
      <c r="L14" s="36">
        <v>4480</v>
      </c>
      <c r="M14" s="36"/>
      <c r="N14" s="36"/>
      <c r="O14" s="38"/>
      <c r="P14" s="38">
        <f t="shared" si="4"/>
        <v>439.64671246319921</v>
      </c>
      <c r="Q14" s="36">
        <v>0</v>
      </c>
      <c r="R14" s="36">
        <v>0</v>
      </c>
      <c r="S14" s="36"/>
      <c r="T14" s="59"/>
      <c r="U14" s="38"/>
      <c r="V14" s="38"/>
      <c r="W14" s="491">
        <v>0</v>
      </c>
      <c r="X14" s="491">
        <v>0</v>
      </c>
      <c r="Y14" s="492"/>
      <c r="Z14" s="493"/>
      <c r="AA14" s="40"/>
      <c r="AB14" s="40"/>
      <c r="AC14" s="80">
        <v>0</v>
      </c>
      <c r="AD14" s="80">
        <v>0</v>
      </c>
      <c r="AE14" s="36"/>
      <c r="AF14" s="59"/>
      <c r="AG14" s="40"/>
      <c r="AH14" s="40"/>
    </row>
    <row r="15" spans="1:34" ht="16.5" customHeight="1" x14ac:dyDescent="0.2">
      <c r="A15" s="1401"/>
      <c r="B15" s="7"/>
      <c r="C15" s="7" t="s">
        <v>3</v>
      </c>
      <c r="D15" s="7"/>
      <c r="E15" s="7"/>
      <c r="F15" s="7"/>
      <c r="G15" s="36"/>
      <c r="H15" s="36">
        <v>1408460</v>
      </c>
      <c r="I15" s="38"/>
      <c r="J15" s="38"/>
      <c r="K15" s="36">
        <v>0</v>
      </c>
      <c r="L15" s="36">
        <v>9030881</v>
      </c>
      <c r="M15" s="36"/>
      <c r="N15" s="36"/>
      <c r="O15" s="38"/>
      <c r="P15" s="38">
        <f t="shared" si="4"/>
        <v>641.18831915709359</v>
      </c>
      <c r="Q15" s="36">
        <v>0</v>
      </c>
      <c r="R15" s="36">
        <v>0</v>
      </c>
      <c r="S15" s="36"/>
      <c r="T15" s="59"/>
      <c r="U15" s="38"/>
      <c r="V15" s="38"/>
      <c r="W15" s="491">
        <v>0</v>
      </c>
      <c r="X15" s="491">
        <v>0</v>
      </c>
      <c r="Y15" s="492"/>
      <c r="Z15" s="493"/>
      <c r="AA15" s="40"/>
      <c r="AB15" s="40"/>
      <c r="AC15" s="80">
        <v>0</v>
      </c>
      <c r="AD15" s="80">
        <v>0</v>
      </c>
      <c r="AE15" s="36"/>
      <c r="AF15" s="59"/>
      <c r="AG15" s="40"/>
      <c r="AH15" s="40"/>
    </row>
    <row r="16" spans="1:34" ht="27" customHeight="1" x14ac:dyDescent="0.2">
      <c r="A16" s="1401" t="s">
        <v>13</v>
      </c>
      <c r="B16" s="7" t="s">
        <v>11</v>
      </c>
      <c r="C16" s="7" t="s">
        <v>6</v>
      </c>
      <c r="D16" s="7"/>
      <c r="E16" s="7"/>
      <c r="F16" s="7"/>
      <c r="G16" s="36"/>
      <c r="H16" s="36">
        <v>89</v>
      </c>
      <c r="I16" s="38"/>
      <c r="J16" s="38"/>
      <c r="K16" s="36">
        <v>0</v>
      </c>
      <c r="L16" s="36">
        <v>844</v>
      </c>
      <c r="M16" s="36"/>
      <c r="N16" s="36"/>
      <c r="O16" s="38"/>
      <c r="P16" s="38">
        <f t="shared" si="4"/>
        <v>948.3146067415729</v>
      </c>
      <c r="Q16" s="36">
        <v>0</v>
      </c>
      <c r="R16" s="36">
        <v>0</v>
      </c>
      <c r="S16" s="36"/>
      <c r="T16" s="59"/>
      <c r="U16" s="38"/>
      <c r="V16" s="38"/>
      <c r="W16" s="491">
        <v>0</v>
      </c>
      <c r="X16" s="491">
        <v>0</v>
      </c>
      <c r="Y16" s="492"/>
      <c r="Z16" s="493"/>
      <c r="AA16" s="40"/>
      <c r="AB16" s="40"/>
      <c r="AC16" s="80">
        <v>0</v>
      </c>
      <c r="AD16" s="80">
        <v>0</v>
      </c>
      <c r="AE16" s="36"/>
      <c r="AF16" s="59"/>
      <c r="AG16" s="40"/>
      <c r="AH16" s="40"/>
    </row>
    <row r="17" spans="1:34" ht="27" customHeight="1" x14ac:dyDescent="0.2">
      <c r="A17" s="1401"/>
      <c r="B17" s="7"/>
      <c r="C17" s="7" t="s">
        <v>3</v>
      </c>
      <c r="D17" s="7"/>
      <c r="E17" s="7"/>
      <c r="F17" s="7"/>
      <c r="G17" s="36"/>
      <c r="H17" s="36">
        <v>597914</v>
      </c>
      <c r="I17" s="38"/>
      <c r="J17" s="38"/>
      <c r="K17" s="36">
        <v>0</v>
      </c>
      <c r="L17" s="36">
        <v>4943914</v>
      </c>
      <c r="M17" s="36"/>
      <c r="N17" s="36"/>
      <c r="O17" s="38"/>
      <c r="P17" s="38">
        <f t="shared" si="4"/>
        <v>826.86038460380598</v>
      </c>
      <c r="Q17" s="36">
        <v>0</v>
      </c>
      <c r="R17" s="36">
        <v>0</v>
      </c>
      <c r="S17" s="36"/>
      <c r="T17" s="59"/>
      <c r="U17" s="38"/>
      <c r="V17" s="38"/>
      <c r="W17" s="491">
        <v>0</v>
      </c>
      <c r="X17" s="491">
        <v>0</v>
      </c>
      <c r="Y17" s="492"/>
      <c r="Z17" s="493"/>
      <c r="AA17" s="40"/>
      <c r="AB17" s="40"/>
      <c r="AC17" s="80">
        <v>0</v>
      </c>
      <c r="AD17" s="80">
        <v>0</v>
      </c>
      <c r="AE17" s="36"/>
      <c r="AF17" s="59"/>
      <c r="AG17" s="40"/>
      <c r="AH17" s="40"/>
    </row>
    <row r="18" spans="1:34" ht="18" customHeight="1" x14ac:dyDescent="0.2">
      <c r="A18" s="1401" t="s">
        <v>14</v>
      </c>
      <c r="B18" s="7" t="s">
        <v>15</v>
      </c>
      <c r="C18" s="7" t="s">
        <v>6</v>
      </c>
      <c r="D18" s="7"/>
      <c r="E18" s="7"/>
      <c r="F18" s="39"/>
      <c r="G18" s="36">
        <v>89345743</v>
      </c>
      <c r="H18" s="36">
        <v>78917730</v>
      </c>
      <c r="I18" s="38"/>
      <c r="J18" s="38"/>
      <c r="K18" s="36">
        <v>35901231</v>
      </c>
      <c r="L18" s="36">
        <v>19565640</v>
      </c>
      <c r="M18" s="54">
        <f>+L18/$K$4</f>
        <v>0.13392806171575586</v>
      </c>
      <c r="N18" s="54"/>
      <c r="O18" s="38">
        <f t="shared" ref="O18:O21" si="11">L18/K18*100</f>
        <v>54.498521234550424</v>
      </c>
      <c r="P18" s="38">
        <f t="shared" si="4"/>
        <v>24.79245158217298</v>
      </c>
      <c r="Q18" s="36">
        <v>37087498</v>
      </c>
      <c r="R18" s="36">
        <v>25176348</v>
      </c>
      <c r="S18" s="54">
        <f>+R18/$Q$4</f>
        <v>0.17305278118665676</v>
      </c>
      <c r="T18" s="59"/>
      <c r="U18" s="38">
        <f t="shared" ref="U18:U21" si="12">R18/Q18*100</f>
        <v>67.88365179015311</v>
      </c>
      <c r="V18" s="38">
        <f t="shared" ref="V18:V21" si="13">R18/L18*100</f>
        <v>128.67633259121604</v>
      </c>
      <c r="W18" s="491">
        <v>39679818</v>
      </c>
      <c r="X18" s="491">
        <v>31459783</v>
      </c>
      <c r="Y18" s="497">
        <f>+X18/$W$4</f>
        <v>0.21686601220841367</v>
      </c>
      <c r="Z18" s="493"/>
      <c r="AA18" s="40">
        <f t="shared" ref="AA18:AA23" si="14">X18/W18*100</f>
        <v>79.284090970376937</v>
      </c>
      <c r="AB18" s="40">
        <f t="shared" ref="AB18:AB21" si="15">X18/R18*100</f>
        <v>124.95769044819367</v>
      </c>
      <c r="AC18" s="80">
        <v>38398310</v>
      </c>
      <c r="AD18" s="80">
        <v>38328029</v>
      </c>
      <c r="AE18" s="54">
        <f>+ROUND(AD18/$AC$4,5)</f>
        <v>0.26588000000000001</v>
      </c>
      <c r="AF18" s="59"/>
      <c r="AG18" s="40">
        <f t="shared" ref="AG18:AG65" si="16">AD18/AC18*100</f>
        <v>99.816968507207733</v>
      </c>
      <c r="AH18" s="40">
        <f t="shared" ref="AH18:AH21" si="17">AD18/X18*100</f>
        <v>121.83182890994513</v>
      </c>
    </row>
    <row r="19" spans="1:34" ht="18" customHeight="1" x14ac:dyDescent="0.2">
      <c r="A19" s="1401"/>
      <c r="B19" s="7"/>
      <c r="C19" s="7" t="s">
        <v>3</v>
      </c>
      <c r="D19" s="7"/>
      <c r="E19" s="7"/>
      <c r="F19" s="39"/>
      <c r="G19" s="36">
        <v>106183913410</v>
      </c>
      <c r="H19" s="36">
        <v>57600245212</v>
      </c>
      <c r="I19" s="38"/>
      <c r="J19" s="38"/>
      <c r="K19" s="36">
        <v>73472316595</v>
      </c>
      <c r="L19" s="36">
        <v>35157929816</v>
      </c>
      <c r="M19" s="38">
        <f>+L19/L18</f>
        <v>1796.9220437460774</v>
      </c>
      <c r="N19" s="38"/>
      <c r="O19" s="38">
        <f t="shared" si="11"/>
        <v>47.851941309813824</v>
      </c>
      <c r="P19" s="38">
        <f t="shared" si="4"/>
        <v>61.037812749928122</v>
      </c>
      <c r="Q19" s="36">
        <v>81188694653</v>
      </c>
      <c r="R19" s="36">
        <v>48513984806</v>
      </c>
      <c r="S19" s="38">
        <f>+R19/R18</f>
        <v>1926.9667231323622</v>
      </c>
      <c r="T19" s="59">
        <f>+S19/$T$4</f>
        <v>1610.3491973060063</v>
      </c>
      <c r="U19" s="38">
        <f t="shared" si="12"/>
        <v>59.754606245793809</v>
      </c>
      <c r="V19" s="38">
        <f t="shared" si="13"/>
        <v>137.98874125950897</v>
      </c>
      <c r="W19" s="491">
        <v>91246890231</v>
      </c>
      <c r="X19" s="491">
        <v>61644926200</v>
      </c>
      <c r="Y19" s="495">
        <f>+X19/X18</f>
        <v>1959.4835158271753</v>
      </c>
      <c r="Z19" s="493">
        <f>+Y19/$Z$4</f>
        <v>1631.1720327385046</v>
      </c>
      <c r="AA19" s="40">
        <f t="shared" si="14"/>
        <v>67.55838587368855</v>
      </c>
      <c r="AB19" s="40">
        <f t="shared" si="15"/>
        <v>127.06630149328821</v>
      </c>
      <c r="AC19" s="80">
        <v>89573986786</v>
      </c>
      <c r="AD19" s="80">
        <v>75785342554</v>
      </c>
      <c r="AE19" s="38">
        <f>+AD19/AD18</f>
        <v>1977.2825405136277</v>
      </c>
      <c r="AF19" s="59">
        <f>+AE19/$AF$4</f>
        <v>1650.0007251892894</v>
      </c>
      <c r="AG19" s="40">
        <f t="shared" si="16"/>
        <v>84.606418976368374</v>
      </c>
      <c r="AH19" s="40">
        <f t="shared" si="17"/>
        <v>122.93849182027247</v>
      </c>
    </row>
    <row r="20" spans="1:34" ht="18" customHeight="1" x14ac:dyDescent="0.2">
      <c r="A20" s="1401" t="s">
        <v>16</v>
      </c>
      <c r="B20" s="7" t="s">
        <v>15</v>
      </c>
      <c r="C20" s="7" t="s">
        <v>6</v>
      </c>
      <c r="D20" s="7"/>
      <c r="E20" s="7"/>
      <c r="F20" s="39"/>
      <c r="G20" s="36">
        <v>24096508</v>
      </c>
      <c r="H20" s="36">
        <v>24836920</v>
      </c>
      <c r="I20" s="38"/>
      <c r="J20" s="38"/>
      <c r="K20" s="36">
        <v>25414110</v>
      </c>
      <c r="L20" s="36">
        <v>10621670</v>
      </c>
      <c r="M20" s="54">
        <f>+L20/$K$4</f>
        <v>7.2706012953544716E-2</v>
      </c>
      <c r="N20" s="54"/>
      <c r="O20" s="38">
        <f t="shared" si="11"/>
        <v>41.794381152832031</v>
      </c>
      <c r="P20" s="38">
        <f t="shared" si="4"/>
        <v>42.765648880779104</v>
      </c>
      <c r="Q20" s="36">
        <v>26638864</v>
      </c>
      <c r="R20" s="36">
        <v>14444562</v>
      </c>
      <c r="S20" s="54">
        <f>+R20/$Q$4</f>
        <v>9.9286506014418657E-2</v>
      </c>
      <c r="T20" s="59"/>
      <c r="U20" s="38">
        <f t="shared" si="12"/>
        <v>54.223641068177685</v>
      </c>
      <c r="V20" s="38">
        <f t="shared" si="13"/>
        <v>135.99144014076882</v>
      </c>
      <c r="W20" s="491">
        <v>35980106</v>
      </c>
      <c r="X20" s="491">
        <v>28326165</v>
      </c>
      <c r="Y20" s="497">
        <f>+X20/$W$4</f>
        <v>0.19526461592909081</v>
      </c>
      <c r="Z20" s="493"/>
      <c r="AA20" s="40">
        <f t="shared" si="14"/>
        <v>78.727297245872478</v>
      </c>
      <c r="AB20" s="40">
        <f t="shared" si="15"/>
        <v>196.10262325711224</v>
      </c>
      <c r="AC20" s="80">
        <v>47673845</v>
      </c>
      <c r="AD20" s="80">
        <v>44819787</v>
      </c>
      <c r="AE20" s="54">
        <f>+ROUND(AD20/$AC$4,5)</f>
        <v>0.31091000000000002</v>
      </c>
      <c r="AF20" s="59"/>
      <c r="AG20" s="40">
        <f t="shared" si="16"/>
        <v>94.013367287660571</v>
      </c>
      <c r="AH20" s="40">
        <f t="shared" si="17"/>
        <v>158.22751509072972</v>
      </c>
    </row>
    <row r="21" spans="1:34" ht="18" customHeight="1" x14ac:dyDescent="0.2">
      <c r="A21" s="1401"/>
      <c r="B21" s="7"/>
      <c r="C21" s="7" t="s">
        <v>3</v>
      </c>
      <c r="D21" s="7"/>
      <c r="E21" s="7"/>
      <c r="F21" s="39"/>
      <c r="G21" s="36">
        <v>34980066934</v>
      </c>
      <c r="H21" s="36">
        <v>32370120036</v>
      </c>
      <c r="I21" s="38"/>
      <c r="J21" s="38"/>
      <c r="K21" s="36">
        <v>60559914323</v>
      </c>
      <c r="L21" s="36">
        <v>24648957514</v>
      </c>
      <c r="M21" s="38">
        <f>+L21/L20</f>
        <v>2320.6291961621855</v>
      </c>
      <c r="N21" s="38"/>
      <c r="O21" s="38">
        <f t="shared" si="11"/>
        <v>40.70177078278757</v>
      </c>
      <c r="P21" s="38">
        <f t="shared" si="4"/>
        <v>76.147253969361216</v>
      </c>
      <c r="Q21" s="36">
        <v>68682983710</v>
      </c>
      <c r="R21" s="36">
        <v>34591319239</v>
      </c>
      <c r="S21" s="38">
        <f>+R21/R20</f>
        <v>2394.764149927149</v>
      </c>
      <c r="T21" s="59">
        <f>+S21/$T$4</f>
        <v>2001.2834058201277</v>
      </c>
      <c r="U21" s="38">
        <f t="shared" si="12"/>
        <v>50.363739853025095</v>
      </c>
      <c r="V21" s="38">
        <f t="shared" si="13"/>
        <v>140.33583050866548</v>
      </c>
      <c r="W21" s="491">
        <v>105153288098</v>
      </c>
      <c r="X21" s="491">
        <v>64938960871</v>
      </c>
      <c r="Y21" s="495">
        <f>+X21/X20</f>
        <v>2292.5433383234194</v>
      </c>
      <c r="Z21" s="493">
        <f>+Y21/$Z$4</f>
        <v>1908.4276785740274</v>
      </c>
      <c r="AA21" s="40">
        <f t="shared" si="14"/>
        <v>61.75647195214539</v>
      </c>
      <c r="AB21" s="40">
        <f t="shared" si="15"/>
        <v>187.73195790053748</v>
      </c>
      <c r="AC21" s="80">
        <v>139127597672</v>
      </c>
      <c r="AD21" s="80">
        <v>108825672452</v>
      </c>
      <c r="AE21" s="38">
        <f>+AD21/AD20</f>
        <v>2428.0720578167852</v>
      </c>
      <c r="AF21" s="59">
        <f>+AE21/$AF$4</f>
        <v>2026.1751035180062</v>
      </c>
      <c r="AG21" s="40">
        <f t="shared" si="16"/>
        <v>78.22004711715195</v>
      </c>
      <c r="AH21" s="40">
        <f t="shared" si="17"/>
        <v>167.581481120679</v>
      </c>
    </row>
    <row r="22" spans="1:34" ht="18" customHeight="1" x14ac:dyDescent="0.2">
      <c r="A22" s="1401" t="s">
        <v>17</v>
      </c>
      <c r="B22" s="7" t="s">
        <v>15</v>
      </c>
      <c r="C22" s="7" t="s">
        <v>6</v>
      </c>
      <c r="D22" s="7"/>
      <c r="E22" s="7"/>
      <c r="F22" s="39"/>
      <c r="G22" s="36"/>
      <c r="H22" s="7"/>
      <c r="I22" s="39"/>
      <c r="J22" s="39"/>
      <c r="K22" s="36"/>
      <c r="L22" s="36"/>
      <c r="M22" s="36"/>
      <c r="N22" s="36"/>
      <c r="O22" s="38"/>
      <c r="P22" s="38"/>
      <c r="Q22" s="36"/>
      <c r="R22" s="36"/>
      <c r="S22" s="36"/>
      <c r="T22" s="59"/>
      <c r="U22" s="38"/>
      <c r="V22" s="38"/>
      <c r="W22" s="491">
        <v>7935694</v>
      </c>
      <c r="X22" s="491">
        <v>6437922</v>
      </c>
      <c r="Y22" s="497">
        <f>+X22/$W$4</f>
        <v>4.4379405638265687E-2</v>
      </c>
      <c r="Z22" s="493"/>
      <c r="AA22" s="40">
        <f t="shared" si="14"/>
        <v>81.126137172123819</v>
      </c>
      <c r="AB22" s="40"/>
      <c r="AC22" s="80">
        <v>7679269</v>
      </c>
      <c r="AD22" s="80">
        <v>7572417</v>
      </c>
      <c r="AE22" s="54">
        <f>+ROUND(AD22/$AC$4,5)</f>
        <v>5.253E-2</v>
      </c>
      <c r="AF22" s="59"/>
      <c r="AG22" s="40">
        <f t="shared" si="16"/>
        <v>98.60856547674004</v>
      </c>
      <c r="AH22" s="40"/>
    </row>
    <row r="23" spans="1:34" ht="18" customHeight="1" x14ac:dyDescent="0.2">
      <c r="A23" s="1401"/>
      <c r="B23" s="7"/>
      <c r="C23" s="7" t="s">
        <v>3</v>
      </c>
      <c r="D23" s="7"/>
      <c r="E23" s="7"/>
      <c r="F23" s="39"/>
      <c r="G23" s="36"/>
      <c r="H23" s="7"/>
      <c r="I23" s="39"/>
      <c r="J23" s="39"/>
      <c r="K23" s="36"/>
      <c r="L23" s="36"/>
      <c r="M23" s="36"/>
      <c r="N23" s="36"/>
      <c r="O23" s="38"/>
      <c r="P23" s="38"/>
      <c r="Q23" s="36"/>
      <c r="R23" s="36"/>
      <c r="S23" s="36"/>
      <c r="T23" s="59"/>
      <c r="U23" s="38"/>
      <c r="V23" s="38"/>
      <c r="W23" s="491">
        <v>9372152518</v>
      </c>
      <c r="X23" s="491">
        <v>7279594801</v>
      </c>
      <c r="Y23" s="495">
        <f>+X23/X22</f>
        <v>1130.7367192395311</v>
      </c>
      <c r="Z23" s="493">
        <f>+Y23/$Z$4</f>
        <v>941.28177038295155</v>
      </c>
      <c r="AA23" s="40">
        <f t="shared" si="14"/>
        <v>77.67260282009849</v>
      </c>
      <c r="AB23" s="40"/>
      <c r="AC23" s="80">
        <v>9725359997</v>
      </c>
      <c r="AD23" s="80">
        <v>8979220621</v>
      </c>
      <c r="AE23" s="38">
        <f>+AD23/AD22</f>
        <v>1185.7799987771407</v>
      </c>
      <c r="AF23" s="59">
        <f>+AE23/$AF$4</f>
        <v>989.50848844748202</v>
      </c>
      <c r="AG23" s="40">
        <f t="shared" si="16"/>
        <v>92.327899674354853</v>
      </c>
      <c r="AH23" s="40"/>
    </row>
    <row r="24" spans="1:34" ht="18" customHeight="1" x14ac:dyDescent="0.2">
      <c r="A24" s="1401" t="s">
        <v>18</v>
      </c>
      <c r="B24" s="7" t="s">
        <v>11</v>
      </c>
      <c r="C24" s="7" t="s">
        <v>6</v>
      </c>
      <c r="D24" s="7"/>
      <c r="E24" s="7"/>
      <c r="F24" s="39"/>
      <c r="G24" s="36"/>
      <c r="H24" s="7"/>
      <c r="I24" s="39"/>
      <c r="J24" s="39"/>
      <c r="K24" s="36">
        <v>358395830</v>
      </c>
      <c r="L24" s="36">
        <v>331217518</v>
      </c>
      <c r="M24" s="52">
        <f>+L24/$K$4</f>
        <v>2.2672051715171841</v>
      </c>
      <c r="N24" s="52"/>
      <c r="O24" s="38">
        <f t="shared" ref="O24:O43" si="18">L24/K24*100</f>
        <v>92.416677392702923</v>
      </c>
      <c r="P24" s="38"/>
      <c r="Q24" s="36">
        <v>363979754</v>
      </c>
      <c r="R24" s="36">
        <v>421305772</v>
      </c>
      <c r="S24" s="52">
        <f>+R24/$Q$4</f>
        <v>2.8958979902323998</v>
      </c>
      <c r="T24" s="59"/>
      <c r="U24" s="38">
        <f t="shared" ref="U24:U43" si="19">R24/Q24*100</f>
        <v>115.74978206068023</v>
      </c>
      <c r="V24" s="38">
        <f t="shared" ref="V24:V43" si="20">R24/L24*100</f>
        <v>127.19912115276463</v>
      </c>
      <c r="W24" s="491">
        <v>347701157</v>
      </c>
      <c r="X24" s="491">
        <v>401247472</v>
      </c>
      <c r="Y24" s="494">
        <f>+X24/$W$4</f>
        <v>2.7659739153746585</v>
      </c>
      <c r="Z24" s="493"/>
      <c r="AA24" s="40">
        <f t="shared" ref="AA24:AA45" si="21">X24/W24*100</f>
        <v>115.40009687111854</v>
      </c>
      <c r="AB24" s="40">
        <f t="shared" ref="AB24:AB43" si="22">X24/R24*100</f>
        <v>95.23901609399266</v>
      </c>
      <c r="AC24" s="80">
        <v>321515754</v>
      </c>
      <c r="AD24" s="80">
        <v>398382497</v>
      </c>
      <c r="AE24" s="52">
        <f>+ROUND(AD24/$AC$4,5)</f>
        <v>2.7635700000000001</v>
      </c>
      <c r="AF24" s="59"/>
      <c r="AG24" s="40">
        <f t="shared" si="16"/>
        <v>123.90761324871191</v>
      </c>
      <c r="AH24" s="40">
        <f t="shared" ref="AH24:AH43" si="23">AD24/X24*100</f>
        <v>99.285983040411523</v>
      </c>
    </row>
    <row r="25" spans="1:34" ht="18" customHeight="1" x14ac:dyDescent="0.2">
      <c r="A25" s="1401"/>
      <c r="B25" s="7"/>
      <c r="C25" s="7" t="s">
        <v>3</v>
      </c>
      <c r="D25" s="7"/>
      <c r="E25" s="7"/>
      <c r="F25" s="39"/>
      <c r="G25" s="36"/>
      <c r="H25" s="7"/>
      <c r="I25" s="39"/>
      <c r="J25" s="39"/>
      <c r="K25" s="36">
        <v>133734441065</v>
      </c>
      <c r="L25" s="36">
        <v>226963245456</v>
      </c>
      <c r="M25" s="38">
        <f>+L25/L24</f>
        <v>685.23925553961794</v>
      </c>
      <c r="N25" s="38"/>
      <c r="O25" s="38">
        <f t="shared" si="18"/>
        <v>169.71188846236495</v>
      </c>
      <c r="P25" s="38"/>
      <c r="Q25" s="36">
        <v>143439440254</v>
      </c>
      <c r="R25" s="36">
        <v>252672641649</v>
      </c>
      <c r="S25" s="38">
        <f>+R25/R24</f>
        <v>599.73695696008645</v>
      </c>
      <c r="T25" s="59">
        <f>+S25/$T$4</f>
        <v>501.1949171937427</v>
      </c>
      <c r="U25" s="38">
        <f t="shared" si="19"/>
        <v>176.15283579019257</v>
      </c>
      <c r="V25" s="38">
        <f t="shared" si="20"/>
        <v>111.32755928888236</v>
      </c>
      <c r="W25" s="491">
        <v>143458990813</v>
      </c>
      <c r="X25" s="491">
        <v>252145803295</v>
      </c>
      <c r="Y25" s="495">
        <f>+X25/X24</f>
        <v>628.4047150208587</v>
      </c>
      <c r="Z25" s="493">
        <f>+Y25/$Z$4</f>
        <v>523.11549860133755</v>
      </c>
      <c r="AA25" s="40">
        <f t="shared" si="21"/>
        <v>175.76159003075253</v>
      </c>
      <c r="AB25" s="40">
        <f t="shared" si="22"/>
        <v>99.791493708791847</v>
      </c>
      <c r="AC25" s="80">
        <v>148280213479</v>
      </c>
      <c r="AD25" s="80">
        <v>255220236097</v>
      </c>
      <c r="AE25" s="38">
        <f>+AD25/AD24</f>
        <v>640.64118785068013</v>
      </c>
      <c r="AF25" s="59">
        <f>+AE25/$AF$4</f>
        <v>534.60160744916288</v>
      </c>
      <c r="AG25" s="40">
        <f t="shared" si="16"/>
        <v>172.12022434344908</v>
      </c>
      <c r="AH25" s="40">
        <f t="shared" si="23"/>
        <v>101.21930754421602</v>
      </c>
    </row>
    <row r="26" spans="1:34" ht="18" customHeight="1" x14ac:dyDescent="0.2">
      <c r="A26" s="1401" t="s">
        <v>19</v>
      </c>
      <c r="B26" s="7" t="s">
        <v>11</v>
      </c>
      <c r="C26" s="7" t="s">
        <v>6</v>
      </c>
      <c r="D26" s="36">
        <v>77252244</v>
      </c>
      <c r="E26" s="36">
        <v>62870187</v>
      </c>
      <c r="F26" s="38">
        <f t="shared" ref="F26:F29" si="24">E26/D26*100</f>
        <v>81.38299128242798</v>
      </c>
      <c r="G26" s="36">
        <v>77495079</v>
      </c>
      <c r="H26" s="36">
        <v>67141632</v>
      </c>
      <c r="I26" s="38">
        <f t="shared" ref="I26:I29" si="25">H26/G26*100</f>
        <v>86.639865222925962</v>
      </c>
      <c r="J26" s="38">
        <f t="shared" ref="J26:J29" si="26">H26/E26*100</f>
        <v>106.79407077316311</v>
      </c>
      <c r="K26" s="36">
        <v>75205803</v>
      </c>
      <c r="L26" s="36">
        <v>67545738</v>
      </c>
      <c r="M26" s="52">
        <f>+L26/$K$4</f>
        <v>0.46235491236168486</v>
      </c>
      <c r="N26" s="52"/>
      <c r="O26" s="38">
        <f t="shared" si="18"/>
        <v>89.814529338912848</v>
      </c>
      <c r="P26" s="38">
        <f t="shared" ref="P26:P29" si="27">L26/H26*100</f>
        <v>100.60187098222455</v>
      </c>
      <c r="Q26" s="36">
        <v>74947473</v>
      </c>
      <c r="R26" s="36">
        <v>69359728</v>
      </c>
      <c r="S26" s="52">
        <f>+R26/$Q$4</f>
        <v>0.47675277735873484</v>
      </c>
      <c r="T26" s="59"/>
      <c r="U26" s="38">
        <f t="shared" si="19"/>
        <v>92.544451765571864</v>
      </c>
      <c r="V26" s="38">
        <f t="shared" si="20"/>
        <v>102.6855728484305</v>
      </c>
      <c r="W26" s="491">
        <v>74833162</v>
      </c>
      <c r="X26" s="491">
        <v>71760480</v>
      </c>
      <c r="Y26" s="494">
        <f>+X26/$W$4</f>
        <v>0.49467630249584449</v>
      </c>
      <c r="Z26" s="493"/>
      <c r="AA26" s="40">
        <f t="shared" si="21"/>
        <v>95.893956746074693</v>
      </c>
      <c r="AB26" s="40">
        <f t="shared" si="22"/>
        <v>103.4613053845886</v>
      </c>
      <c r="AC26" s="80">
        <v>75165977</v>
      </c>
      <c r="AD26" s="80">
        <v>71077212</v>
      </c>
      <c r="AE26" s="52">
        <f>+ROUND(AD26/$AC$4,5)</f>
        <v>0.49306</v>
      </c>
      <c r="AF26" s="59"/>
      <c r="AG26" s="40">
        <f t="shared" si="16"/>
        <v>94.560351420696634</v>
      </c>
      <c r="AH26" s="40">
        <f t="shared" si="23"/>
        <v>99.047849178266361</v>
      </c>
    </row>
    <row r="27" spans="1:34" ht="18" customHeight="1" x14ac:dyDescent="0.2">
      <c r="A27" s="1401"/>
      <c r="B27" s="7"/>
      <c r="C27" s="7" t="s">
        <v>3</v>
      </c>
      <c r="D27" s="36">
        <v>53438450612</v>
      </c>
      <c r="E27" s="36">
        <v>42626641628</v>
      </c>
      <c r="F27" s="38">
        <f t="shared" si="24"/>
        <v>79.767734917127015</v>
      </c>
      <c r="G27" s="36">
        <v>56070445581</v>
      </c>
      <c r="H27" s="36">
        <v>48469012736</v>
      </c>
      <c r="I27" s="38">
        <f t="shared" si="25"/>
        <v>86.443066813123707</v>
      </c>
      <c r="J27" s="38">
        <f t="shared" si="26"/>
        <v>113.70591462256398</v>
      </c>
      <c r="K27" s="36">
        <v>57534840568</v>
      </c>
      <c r="L27" s="36">
        <v>54820020360</v>
      </c>
      <c r="M27" s="38">
        <f>+L27/L26</f>
        <v>811.59851062697692</v>
      </c>
      <c r="N27" s="38"/>
      <c r="O27" s="38">
        <f t="shared" si="18"/>
        <v>95.281432639425887</v>
      </c>
      <c r="P27" s="38">
        <f t="shared" si="27"/>
        <v>113.10323290179755</v>
      </c>
      <c r="Q27" s="36">
        <v>60123846922</v>
      </c>
      <c r="R27" s="36">
        <v>58052581337</v>
      </c>
      <c r="S27" s="38">
        <f>+R27/R26</f>
        <v>836.9782150385596</v>
      </c>
      <c r="T27" s="59">
        <f>+S27/$T$4</f>
        <v>699.45535673756251</v>
      </c>
      <c r="U27" s="38">
        <f t="shared" si="19"/>
        <v>96.555001565872686</v>
      </c>
      <c r="V27" s="38">
        <f t="shared" si="20"/>
        <v>105.89667963596503</v>
      </c>
      <c r="W27" s="491">
        <v>64217317982</v>
      </c>
      <c r="X27" s="491">
        <v>62981139830</v>
      </c>
      <c r="Y27" s="495">
        <f>+X27/X26</f>
        <v>877.65772790260041</v>
      </c>
      <c r="Z27" s="493">
        <f>+Y27/$Z$4</f>
        <v>730.6061666291705</v>
      </c>
      <c r="AA27" s="40">
        <f t="shared" si="21"/>
        <v>98.075008127330236</v>
      </c>
      <c r="AB27" s="40">
        <f t="shared" si="22"/>
        <v>108.48981798826362</v>
      </c>
      <c r="AC27" s="80">
        <v>69862207733</v>
      </c>
      <c r="AD27" s="80">
        <v>66818354381</v>
      </c>
      <c r="AE27" s="38">
        <f>+AD27/AD26</f>
        <v>940.08125109071523</v>
      </c>
      <c r="AF27" s="59">
        <f>+AE27/$AF$4</f>
        <v>784.47804714525262</v>
      </c>
      <c r="AG27" s="40">
        <f t="shared" si="16"/>
        <v>95.643061605449077</v>
      </c>
      <c r="AH27" s="40">
        <f t="shared" si="23"/>
        <v>106.0926406879226</v>
      </c>
    </row>
    <row r="28" spans="1:34" ht="15.75" customHeight="1" x14ac:dyDescent="0.2">
      <c r="A28" s="1401" t="s">
        <v>20</v>
      </c>
      <c r="B28" s="7" t="s">
        <v>21</v>
      </c>
      <c r="C28" s="7" t="s">
        <v>6</v>
      </c>
      <c r="D28" s="36">
        <v>292053429</v>
      </c>
      <c r="E28" s="36">
        <v>244200734</v>
      </c>
      <c r="F28" s="38">
        <f t="shared" si="24"/>
        <v>83.615088799385404</v>
      </c>
      <c r="G28" s="36">
        <v>262939560</v>
      </c>
      <c r="H28" s="36">
        <v>220376900</v>
      </c>
      <c r="I28" s="38">
        <f t="shared" si="25"/>
        <v>83.81275909946757</v>
      </c>
      <c r="J28" s="38">
        <f t="shared" si="26"/>
        <v>90.244159544581876</v>
      </c>
      <c r="K28" s="36">
        <v>261474968</v>
      </c>
      <c r="L28" s="36">
        <v>174453258</v>
      </c>
      <c r="M28" s="52">
        <f>+L28/$K$4</f>
        <v>1.1941437491407734</v>
      </c>
      <c r="N28" s="52"/>
      <c r="O28" s="38">
        <f t="shared" si="18"/>
        <v>66.718913605527234</v>
      </c>
      <c r="P28" s="38">
        <f t="shared" si="27"/>
        <v>79.161317724316831</v>
      </c>
      <c r="Q28" s="36">
        <v>264401604</v>
      </c>
      <c r="R28" s="36">
        <v>184004169</v>
      </c>
      <c r="S28" s="52">
        <f>+R28/$Q$4</f>
        <v>1.2647757012013661</v>
      </c>
      <c r="T28" s="59"/>
      <c r="U28" s="38">
        <f t="shared" si="19"/>
        <v>69.592682576918108</v>
      </c>
      <c r="V28" s="38">
        <f t="shared" si="20"/>
        <v>105.47476791748997</v>
      </c>
      <c r="W28" s="491">
        <v>264719196</v>
      </c>
      <c r="X28" s="491">
        <v>183262146</v>
      </c>
      <c r="Y28" s="494">
        <f>+X28/$W$4</f>
        <v>1.2633059418043693</v>
      </c>
      <c r="Z28" s="493"/>
      <c r="AA28" s="40">
        <f t="shared" si="21"/>
        <v>69.228884330700367</v>
      </c>
      <c r="AB28" s="40">
        <f t="shared" si="22"/>
        <v>99.596735767437963</v>
      </c>
      <c r="AC28" s="80">
        <v>285280546</v>
      </c>
      <c r="AD28" s="80">
        <v>197341302</v>
      </c>
      <c r="AE28" s="52">
        <f>+ROUND(AD28/$AC$4,5)</f>
        <v>1.3689499999999999</v>
      </c>
      <c r="AF28" s="59"/>
      <c r="AG28" s="40">
        <f t="shared" si="16"/>
        <v>69.17446870001433</v>
      </c>
      <c r="AH28" s="40">
        <f t="shared" si="23"/>
        <v>107.68252271803038</v>
      </c>
    </row>
    <row r="29" spans="1:34" ht="15.75" customHeight="1" x14ac:dyDescent="0.2">
      <c r="A29" s="1401"/>
      <c r="B29" s="7"/>
      <c r="C29" s="7" t="s">
        <v>3</v>
      </c>
      <c r="D29" s="36">
        <v>462576704024</v>
      </c>
      <c r="E29" s="36">
        <v>393277430521</v>
      </c>
      <c r="F29" s="38">
        <f t="shared" si="24"/>
        <v>85.018857867212333</v>
      </c>
      <c r="G29" s="36">
        <v>445551359799</v>
      </c>
      <c r="H29" s="36">
        <v>384086909967</v>
      </c>
      <c r="I29" s="38">
        <f t="shared" si="25"/>
        <v>86.204856414369772</v>
      </c>
      <c r="J29" s="38">
        <f t="shared" si="26"/>
        <v>97.663094843295553</v>
      </c>
      <c r="K29" s="36">
        <v>479313139397</v>
      </c>
      <c r="L29" s="36">
        <v>424067316750</v>
      </c>
      <c r="M29" s="38">
        <f>+L29/L28</f>
        <v>2430.836326083403</v>
      </c>
      <c r="N29" s="38"/>
      <c r="O29" s="38">
        <f t="shared" si="18"/>
        <v>88.473960318195736</v>
      </c>
      <c r="P29" s="38">
        <f t="shared" si="27"/>
        <v>110.40920837068752</v>
      </c>
      <c r="Q29" s="36">
        <v>502031603934</v>
      </c>
      <c r="R29" s="36">
        <v>443247928264</v>
      </c>
      <c r="S29" s="38">
        <f>+R29/R28</f>
        <v>2408.9015519208156</v>
      </c>
      <c r="T29" s="59">
        <f>+S29/$T$4</f>
        <v>2013.0979087273113</v>
      </c>
      <c r="U29" s="38">
        <f t="shared" si="19"/>
        <v>88.290841610495903</v>
      </c>
      <c r="V29" s="38">
        <f t="shared" si="20"/>
        <v>104.52301103065378</v>
      </c>
      <c r="W29" s="491">
        <v>534130200676</v>
      </c>
      <c r="X29" s="491">
        <v>463778199957</v>
      </c>
      <c r="Y29" s="495">
        <f>+X29/X28</f>
        <v>2530.6819224795063</v>
      </c>
      <c r="Z29" s="493">
        <f>+Y29/$Z$4</f>
        <v>2106.6661405226982</v>
      </c>
      <c r="AA29" s="40">
        <f t="shared" si="21"/>
        <v>86.828679481152378</v>
      </c>
      <c r="AB29" s="40">
        <f t="shared" si="22"/>
        <v>104.63178063198349</v>
      </c>
      <c r="AC29" s="80">
        <v>604828778237</v>
      </c>
      <c r="AD29" s="80">
        <v>505376227737</v>
      </c>
      <c r="AE29" s="38">
        <f>+AD29/AD28</f>
        <v>2560.9247664586705</v>
      </c>
      <c r="AF29" s="59">
        <f>+AE29/$AF$4</f>
        <v>2137.0378968270138</v>
      </c>
      <c r="AG29" s="40">
        <f t="shared" si="16"/>
        <v>83.556908322072289</v>
      </c>
      <c r="AH29" s="40">
        <f t="shared" si="23"/>
        <v>108.969379712944</v>
      </c>
    </row>
    <row r="30" spans="1:34" ht="15.75" customHeight="1" x14ac:dyDescent="0.2">
      <c r="A30" s="1401" t="s">
        <v>22</v>
      </c>
      <c r="B30" s="7" t="s">
        <v>23</v>
      </c>
      <c r="C30" s="7" t="s">
        <v>6</v>
      </c>
      <c r="D30" s="7"/>
      <c r="E30" s="7"/>
      <c r="F30" s="39"/>
      <c r="G30" s="36"/>
      <c r="H30" s="7"/>
      <c r="I30" s="39"/>
      <c r="J30" s="39"/>
      <c r="K30" s="36">
        <v>4355225</v>
      </c>
      <c r="L30" s="36">
        <v>5808384</v>
      </c>
      <c r="M30" s="52">
        <f>+L30/$K$4</f>
        <v>3.9758761319374621E-2</v>
      </c>
      <c r="N30" s="52"/>
      <c r="O30" s="38">
        <f t="shared" si="18"/>
        <v>133.36587661946282</v>
      </c>
      <c r="P30" s="38"/>
      <c r="Q30" s="36">
        <v>6046362</v>
      </c>
      <c r="R30" s="36">
        <v>8026423</v>
      </c>
      <c r="S30" s="52">
        <f>+R30/$Q$4</f>
        <v>5.5170623758876748E-2</v>
      </c>
      <c r="T30" s="59"/>
      <c r="U30" s="38">
        <f t="shared" si="19"/>
        <v>132.74797307868764</v>
      </c>
      <c r="V30" s="38">
        <f t="shared" si="20"/>
        <v>138.18685197121954</v>
      </c>
      <c r="W30" s="491">
        <v>7580676</v>
      </c>
      <c r="X30" s="491">
        <v>7258516</v>
      </c>
      <c r="Y30" s="494">
        <f>+X30/$W$4</f>
        <v>5.0036118159841277E-2</v>
      </c>
      <c r="Z30" s="493"/>
      <c r="AA30" s="40">
        <f t="shared" si="21"/>
        <v>95.750247075590622</v>
      </c>
      <c r="AB30" s="40">
        <f t="shared" si="22"/>
        <v>90.432761891567395</v>
      </c>
      <c r="AC30" s="80">
        <v>7777747</v>
      </c>
      <c r="AD30" s="80">
        <v>8198648</v>
      </c>
      <c r="AE30" s="52">
        <f>+ROUND(AD30/$AC$4,5)</f>
        <v>5.6869999999999997E-2</v>
      </c>
      <c r="AF30" s="59"/>
      <c r="AG30" s="40">
        <f t="shared" si="16"/>
        <v>105.41160570021113</v>
      </c>
      <c r="AH30" s="40">
        <f t="shared" si="23"/>
        <v>112.95212409809388</v>
      </c>
    </row>
    <row r="31" spans="1:34" ht="15.75" customHeight="1" x14ac:dyDescent="0.2">
      <c r="A31" s="1401"/>
      <c r="B31" s="7"/>
      <c r="C31" s="7" t="s">
        <v>3</v>
      </c>
      <c r="D31" s="7"/>
      <c r="E31" s="7"/>
      <c r="F31" s="39"/>
      <c r="G31" s="36"/>
      <c r="H31" s="7"/>
      <c r="I31" s="39"/>
      <c r="J31" s="39"/>
      <c r="K31" s="36">
        <v>15901613483</v>
      </c>
      <c r="L31" s="36">
        <v>15172578791</v>
      </c>
      <c r="M31" s="38">
        <f>+L31/L30</f>
        <v>2612.1859007600046</v>
      </c>
      <c r="N31" s="38"/>
      <c r="O31" s="38">
        <f t="shared" si="18"/>
        <v>95.415341387970514</v>
      </c>
      <c r="P31" s="38"/>
      <c r="Q31" s="36">
        <v>20519854947</v>
      </c>
      <c r="R31" s="36">
        <v>20806801365</v>
      </c>
      <c r="S31" s="38">
        <f>+R31/R30</f>
        <v>2592.2881668459286</v>
      </c>
      <c r="T31" s="59">
        <f>+S31/$T$4</f>
        <v>2166.3524951175073</v>
      </c>
      <c r="U31" s="38">
        <f t="shared" si="19"/>
        <v>101.39838424170708</v>
      </c>
      <c r="V31" s="38">
        <f t="shared" si="20"/>
        <v>137.1342449534161</v>
      </c>
      <c r="W31" s="491">
        <v>20851717790</v>
      </c>
      <c r="X31" s="491">
        <v>19075759620</v>
      </c>
      <c r="Y31" s="495">
        <f>+X31/X30</f>
        <v>2628.0522933337888</v>
      </c>
      <c r="Z31" s="493">
        <f>+Y31/$Z$4</f>
        <v>2187.7221047459211</v>
      </c>
      <c r="AA31" s="40">
        <f t="shared" si="21"/>
        <v>91.482916717529577</v>
      </c>
      <c r="AB31" s="40">
        <f t="shared" si="22"/>
        <v>91.680404332057222</v>
      </c>
      <c r="AC31" s="80">
        <v>22962697150</v>
      </c>
      <c r="AD31" s="80">
        <v>23218785461</v>
      </c>
      <c r="AE31" s="38">
        <f>+AD31/AD30</f>
        <v>2832.0261415052823</v>
      </c>
      <c r="AF31" s="59">
        <f>+AE31/$AF$4</f>
        <v>2363.2662967958549</v>
      </c>
      <c r="AG31" s="40">
        <f t="shared" si="16"/>
        <v>101.11523619950718</v>
      </c>
      <c r="AH31" s="40">
        <f t="shared" si="23"/>
        <v>121.71879874527376</v>
      </c>
    </row>
    <row r="32" spans="1:34" ht="15.75" customHeight="1" x14ac:dyDescent="0.2">
      <c r="A32" s="1401" t="s">
        <v>24</v>
      </c>
      <c r="B32" s="7" t="s">
        <v>23</v>
      </c>
      <c r="C32" s="7" t="s">
        <v>6</v>
      </c>
      <c r="D32" s="7"/>
      <c r="E32" s="7"/>
      <c r="F32" s="39"/>
      <c r="G32" s="36"/>
      <c r="H32" s="7"/>
      <c r="I32" s="39"/>
      <c r="J32" s="39"/>
      <c r="K32" s="36">
        <v>1843635</v>
      </c>
      <c r="L32" s="36">
        <v>1608902</v>
      </c>
      <c r="M32" s="52">
        <f>+L32/$K$4</f>
        <v>1.1013037465199351E-2</v>
      </c>
      <c r="N32" s="52"/>
      <c r="O32" s="38">
        <f t="shared" si="18"/>
        <v>87.267924507833712</v>
      </c>
      <c r="P32" s="38"/>
      <c r="Q32" s="36">
        <v>1969483</v>
      </c>
      <c r="R32" s="36">
        <v>2014289</v>
      </c>
      <c r="S32" s="52">
        <f>+R32/$Q$4</f>
        <v>1.3845467720881903E-2</v>
      </c>
      <c r="T32" s="59"/>
      <c r="U32" s="38">
        <f t="shared" si="19"/>
        <v>102.27501329028989</v>
      </c>
      <c r="V32" s="38">
        <f t="shared" si="20"/>
        <v>125.1965004705072</v>
      </c>
      <c r="W32" s="491">
        <v>3447280</v>
      </c>
      <c r="X32" s="491">
        <v>2930359</v>
      </c>
      <c r="Y32" s="494">
        <f>+X32/$W$4</f>
        <v>2.0200243296943112E-2</v>
      </c>
      <c r="Z32" s="493"/>
      <c r="AA32" s="40">
        <f t="shared" si="21"/>
        <v>85.004960432572929</v>
      </c>
      <c r="AB32" s="40">
        <f t="shared" si="22"/>
        <v>145.47857829735455</v>
      </c>
      <c r="AC32" s="80">
        <v>3015301</v>
      </c>
      <c r="AD32" s="80">
        <v>3226027</v>
      </c>
      <c r="AE32" s="52">
        <f>+ROUND(AD32/$AC$4,5)</f>
        <v>2.2380000000000001E-2</v>
      </c>
      <c r="AF32" s="59"/>
      <c r="AG32" s="40">
        <f t="shared" si="16"/>
        <v>106.98855603470435</v>
      </c>
      <c r="AH32" s="40">
        <f t="shared" si="23"/>
        <v>110.08982175904045</v>
      </c>
    </row>
    <row r="33" spans="1:34" ht="15.75" customHeight="1" x14ac:dyDescent="0.2">
      <c r="A33" s="1401"/>
      <c r="B33" s="7"/>
      <c r="C33" s="7" t="s">
        <v>3</v>
      </c>
      <c r="D33" s="7"/>
      <c r="E33" s="7"/>
      <c r="F33" s="39"/>
      <c r="G33" s="36"/>
      <c r="H33" s="7"/>
      <c r="I33" s="39"/>
      <c r="J33" s="39"/>
      <c r="K33" s="36">
        <v>7883760441</v>
      </c>
      <c r="L33" s="36">
        <v>6000319950</v>
      </c>
      <c r="M33" s="38">
        <f>+L33/L32</f>
        <v>3729.450239977326</v>
      </c>
      <c r="N33" s="38"/>
      <c r="O33" s="38">
        <f t="shared" si="18"/>
        <v>76.10987161399467</v>
      </c>
      <c r="P33" s="38"/>
      <c r="Q33" s="36">
        <v>8749000558</v>
      </c>
      <c r="R33" s="36">
        <v>7830863293</v>
      </c>
      <c r="S33" s="38">
        <f>+R33/R32</f>
        <v>3887.6562861635048</v>
      </c>
      <c r="T33" s="59">
        <f>+S33/$T$4</f>
        <v>3248.8802762760633</v>
      </c>
      <c r="U33" s="38">
        <f t="shared" si="19"/>
        <v>89.50580401826052</v>
      </c>
      <c r="V33" s="38">
        <f t="shared" si="20"/>
        <v>130.50742890802013</v>
      </c>
      <c r="W33" s="491">
        <v>13394427106</v>
      </c>
      <c r="X33" s="491">
        <v>10497564274</v>
      </c>
      <c r="Y33" s="495">
        <f>+X33/X32</f>
        <v>3582.3475123696448</v>
      </c>
      <c r="Z33" s="493">
        <f>+Y33/$Z$4</f>
        <v>2982.1251500862863</v>
      </c>
      <c r="AA33" s="40">
        <f t="shared" si="21"/>
        <v>78.37262609983253</v>
      </c>
      <c r="AB33" s="40">
        <f t="shared" si="22"/>
        <v>134.05372921506319</v>
      </c>
      <c r="AC33" s="80">
        <v>12099561606</v>
      </c>
      <c r="AD33" s="80">
        <v>12087790156</v>
      </c>
      <c r="AE33" s="38">
        <f>+AD33/AD32</f>
        <v>3746.958768788978</v>
      </c>
      <c r="AF33" s="59">
        <f>+AE33/$AF$4</f>
        <v>3126.7583459014363</v>
      </c>
      <c r="AG33" s="40">
        <f t="shared" si="16"/>
        <v>99.902711764414974</v>
      </c>
      <c r="AH33" s="40">
        <f t="shared" si="23"/>
        <v>115.14852246190685</v>
      </c>
    </row>
    <row r="34" spans="1:34" ht="15.75" customHeight="1" x14ac:dyDescent="0.2">
      <c r="A34" s="1401" t="s">
        <v>25</v>
      </c>
      <c r="B34" s="7" t="s">
        <v>23</v>
      </c>
      <c r="C34" s="7" t="s">
        <v>6</v>
      </c>
      <c r="D34" s="7"/>
      <c r="E34" s="7"/>
      <c r="F34" s="39"/>
      <c r="G34" s="36"/>
      <c r="H34" s="7"/>
      <c r="I34" s="39"/>
      <c r="J34" s="39"/>
      <c r="K34" s="36">
        <v>17233420</v>
      </c>
      <c r="L34" s="36">
        <v>9400047</v>
      </c>
      <c r="M34" s="52">
        <f>+L34/$K$4</f>
        <v>6.4343925102731403E-2</v>
      </c>
      <c r="N34" s="52"/>
      <c r="O34" s="38">
        <f t="shared" si="18"/>
        <v>54.545452962905792</v>
      </c>
      <c r="P34" s="38"/>
      <c r="Q34" s="36">
        <v>16609592</v>
      </c>
      <c r="R34" s="36">
        <v>12310573</v>
      </c>
      <c r="S34" s="52">
        <f>+R34/$Q$4</f>
        <v>8.4618265351724745E-2</v>
      </c>
      <c r="T34" s="59"/>
      <c r="U34" s="38">
        <f t="shared" si="19"/>
        <v>74.117251043854665</v>
      </c>
      <c r="V34" s="38">
        <f t="shared" si="20"/>
        <v>130.96288773875278</v>
      </c>
      <c r="W34" s="491">
        <v>14563353</v>
      </c>
      <c r="X34" s="491">
        <v>13994911</v>
      </c>
      <c r="Y34" s="494">
        <f>+X34/$W$4</f>
        <v>9.6473028430668545E-2</v>
      </c>
      <c r="Z34" s="493"/>
      <c r="AA34" s="40">
        <f t="shared" si="21"/>
        <v>96.096764254770179</v>
      </c>
      <c r="AB34" s="40">
        <f t="shared" si="22"/>
        <v>113.68204388211663</v>
      </c>
      <c r="AC34" s="80">
        <v>16644945</v>
      </c>
      <c r="AD34" s="80">
        <v>16681171</v>
      </c>
      <c r="AE34" s="52">
        <f>+ROUND(AD34/$AC$4,5)</f>
        <v>0.11572</v>
      </c>
      <c r="AF34" s="59"/>
      <c r="AG34" s="40">
        <f t="shared" si="16"/>
        <v>100.21763964975551</v>
      </c>
      <c r="AH34" s="40">
        <f t="shared" si="23"/>
        <v>119.19454864700461</v>
      </c>
    </row>
    <row r="35" spans="1:34" ht="15.75" customHeight="1" x14ac:dyDescent="0.2">
      <c r="A35" s="1401"/>
      <c r="B35" s="7"/>
      <c r="C35" s="7" t="s">
        <v>3</v>
      </c>
      <c r="D35" s="7"/>
      <c r="E35" s="7"/>
      <c r="F35" s="39"/>
      <c r="G35" s="36"/>
      <c r="H35" s="7"/>
      <c r="I35" s="39"/>
      <c r="J35" s="39"/>
      <c r="K35" s="36">
        <v>10667101743</v>
      </c>
      <c r="L35" s="36">
        <v>5568026226</v>
      </c>
      <c r="M35" s="38">
        <f>+L35/L34</f>
        <v>592.34025383064579</v>
      </c>
      <c r="N35" s="38"/>
      <c r="O35" s="38">
        <f t="shared" si="18"/>
        <v>52.198116790756856</v>
      </c>
      <c r="P35" s="38"/>
      <c r="Q35" s="36">
        <v>10561120591</v>
      </c>
      <c r="R35" s="36">
        <v>6986104259</v>
      </c>
      <c r="S35" s="38">
        <f>+R35/R34</f>
        <v>567.48814689616802</v>
      </c>
      <c r="T35" s="59">
        <f>+S35/$T$4</f>
        <v>474.24486934025015</v>
      </c>
      <c r="U35" s="38">
        <f t="shared" si="19"/>
        <v>66.149270797584052</v>
      </c>
      <c r="V35" s="38">
        <f t="shared" si="20"/>
        <v>125.46823551904728</v>
      </c>
      <c r="W35" s="491">
        <v>6814486827</v>
      </c>
      <c r="X35" s="491">
        <v>6643736470</v>
      </c>
      <c r="Y35" s="495">
        <f>+X35/X34</f>
        <v>474.72516759842205</v>
      </c>
      <c r="Z35" s="493">
        <f>+Y35/$Z$4</f>
        <v>395.18496091902978</v>
      </c>
      <c r="AA35" s="40">
        <f t="shared" si="21"/>
        <v>97.494303513458092</v>
      </c>
      <c r="AB35" s="40">
        <f t="shared" si="22"/>
        <v>95.099303183760284</v>
      </c>
      <c r="AC35" s="80">
        <v>8338159446</v>
      </c>
      <c r="AD35" s="80">
        <v>8547480566</v>
      </c>
      <c r="AE35" s="38">
        <f>+AD35/AD34</f>
        <v>512.40291020336645</v>
      </c>
      <c r="AF35" s="59">
        <f>+AE35/$AF$4</f>
        <v>427.58945982754449</v>
      </c>
      <c r="AG35" s="40">
        <f t="shared" si="16"/>
        <v>102.51039958345262</v>
      </c>
      <c r="AH35" s="40">
        <f t="shared" si="23"/>
        <v>128.65472019542642</v>
      </c>
    </row>
    <row r="36" spans="1:34" ht="15.75" customHeight="1" x14ac:dyDescent="0.2">
      <c r="A36" s="1401" t="s">
        <v>26</v>
      </c>
      <c r="B36" s="7" t="s">
        <v>23</v>
      </c>
      <c r="C36" s="7" t="s">
        <v>6</v>
      </c>
      <c r="D36" s="7"/>
      <c r="E36" s="7"/>
      <c r="F36" s="39"/>
      <c r="G36" s="36"/>
      <c r="H36" s="7"/>
      <c r="I36" s="39"/>
      <c r="J36" s="39"/>
      <c r="K36" s="36">
        <v>6712840</v>
      </c>
      <c r="L36" s="36">
        <v>3399832</v>
      </c>
      <c r="M36" s="52">
        <f>+L36/$K$4</f>
        <v>2.3272068274751128E-2</v>
      </c>
      <c r="N36" s="52"/>
      <c r="O36" s="38">
        <f t="shared" si="18"/>
        <v>50.646700949225668</v>
      </c>
      <c r="P36" s="38"/>
      <c r="Q36" s="36">
        <v>6123076</v>
      </c>
      <c r="R36" s="36">
        <v>4352264</v>
      </c>
      <c r="S36" s="52">
        <f>+R36/$Q$4</f>
        <v>2.991583170277768E-2</v>
      </c>
      <c r="T36" s="59"/>
      <c r="U36" s="38">
        <f t="shared" si="19"/>
        <v>71.07969915774359</v>
      </c>
      <c r="V36" s="38">
        <f t="shared" si="20"/>
        <v>128.01409010798181</v>
      </c>
      <c r="W36" s="491">
        <v>4549749</v>
      </c>
      <c r="X36" s="491">
        <v>4574499</v>
      </c>
      <c r="Y36" s="494">
        <f>+X36/$W$4</f>
        <v>3.1534017764247649E-2</v>
      </c>
      <c r="Z36" s="493"/>
      <c r="AA36" s="40">
        <f t="shared" si="21"/>
        <v>100.54398605285699</v>
      </c>
      <c r="AB36" s="40">
        <f t="shared" si="22"/>
        <v>105.10619300667423</v>
      </c>
      <c r="AC36" s="80">
        <v>5098979</v>
      </c>
      <c r="AD36" s="80">
        <v>5079516</v>
      </c>
      <c r="AE36" s="52">
        <f>+ROUND(AD36/$AC$4,5)</f>
        <v>3.524E-2</v>
      </c>
      <c r="AF36" s="59"/>
      <c r="AG36" s="40">
        <f t="shared" si="16"/>
        <v>99.618296133402396</v>
      </c>
      <c r="AH36" s="40">
        <f t="shared" si="23"/>
        <v>111.03983190290347</v>
      </c>
    </row>
    <row r="37" spans="1:34" ht="15.75" customHeight="1" x14ac:dyDescent="0.2">
      <c r="A37" s="1401"/>
      <c r="B37" s="7"/>
      <c r="C37" s="7" t="s">
        <v>3</v>
      </c>
      <c r="D37" s="7"/>
      <c r="E37" s="7"/>
      <c r="F37" s="39"/>
      <c r="G37" s="36"/>
      <c r="H37" s="7"/>
      <c r="I37" s="39"/>
      <c r="J37" s="39"/>
      <c r="K37" s="36">
        <v>6543488160</v>
      </c>
      <c r="L37" s="36">
        <v>3365290212</v>
      </c>
      <c r="M37" s="38">
        <f>+L37/L36</f>
        <v>989.84014857204704</v>
      </c>
      <c r="N37" s="38"/>
      <c r="O37" s="38">
        <f t="shared" si="18"/>
        <v>51.429606499051118</v>
      </c>
      <c r="P37" s="38"/>
      <c r="Q37" s="36">
        <v>6430403995</v>
      </c>
      <c r="R37" s="36">
        <v>4585859171</v>
      </c>
      <c r="S37" s="38">
        <f>+R37/R36</f>
        <v>1053.6721051388427</v>
      </c>
      <c r="T37" s="59">
        <f>+S37/$T$4</f>
        <v>880.54454099543591</v>
      </c>
      <c r="U37" s="38">
        <f t="shared" si="19"/>
        <v>71.31525755715758</v>
      </c>
      <c r="V37" s="38">
        <f t="shared" si="20"/>
        <v>136.26935218388232</v>
      </c>
      <c r="W37" s="491">
        <v>4753790219</v>
      </c>
      <c r="X37" s="491">
        <v>4905781767</v>
      </c>
      <c r="Y37" s="495">
        <f>+X37/X36</f>
        <v>1072.4194642954344</v>
      </c>
      <c r="Z37" s="493">
        <f>+Y37/$Z$4</f>
        <v>892.73557210032106</v>
      </c>
      <c r="AA37" s="40">
        <f t="shared" si="21"/>
        <v>103.19727083017922</v>
      </c>
      <c r="AB37" s="40">
        <f t="shared" si="22"/>
        <v>106.97628479354802</v>
      </c>
      <c r="AC37" s="80">
        <v>5920650156</v>
      </c>
      <c r="AD37" s="80">
        <v>5951970790</v>
      </c>
      <c r="AE37" s="38">
        <f>+AD37/AD36</f>
        <v>1171.7594333790857</v>
      </c>
      <c r="AF37" s="59">
        <f>+AE37/$AF$4</f>
        <v>977.80862128113097</v>
      </c>
      <c r="AG37" s="40">
        <f t="shared" si="16"/>
        <v>100.5290066660713</v>
      </c>
      <c r="AH37" s="40">
        <f t="shared" si="23"/>
        <v>121.32563315468818</v>
      </c>
    </row>
    <row r="38" spans="1:34" ht="17.25" customHeight="1" x14ac:dyDescent="0.2">
      <c r="A38" s="1401" t="s">
        <v>27</v>
      </c>
      <c r="B38" s="7" t="s">
        <v>23</v>
      </c>
      <c r="C38" s="7" t="s">
        <v>6</v>
      </c>
      <c r="D38" s="7"/>
      <c r="E38" s="7"/>
      <c r="F38" s="39"/>
      <c r="G38" s="36"/>
      <c r="H38" s="7"/>
      <c r="I38" s="39"/>
      <c r="J38" s="39"/>
      <c r="K38" s="36">
        <v>101345</v>
      </c>
      <c r="L38" s="36">
        <v>86238</v>
      </c>
      <c r="M38" s="52">
        <f>+L38/$K$4</f>
        <v>5.9030464560542637E-4</v>
      </c>
      <c r="N38" s="52"/>
      <c r="O38" s="38">
        <f t="shared" si="18"/>
        <v>85.093492525531602</v>
      </c>
      <c r="P38" s="38"/>
      <c r="Q38" s="36">
        <v>160353</v>
      </c>
      <c r="R38" s="36">
        <v>149669</v>
      </c>
      <c r="S38" s="52">
        <f>+R38/$Q$4</f>
        <v>1.0287686167757821E-3</v>
      </c>
      <c r="T38" s="59"/>
      <c r="U38" s="38">
        <f t="shared" si="19"/>
        <v>93.337199802934776</v>
      </c>
      <c r="V38" s="38">
        <f t="shared" si="20"/>
        <v>173.55342192536932</v>
      </c>
      <c r="W38" s="491">
        <v>155372</v>
      </c>
      <c r="X38" s="491">
        <v>190985</v>
      </c>
      <c r="Y38" s="494">
        <f>+X38/$W$4</f>
        <v>1.3165429444196703E-3</v>
      </c>
      <c r="Z38" s="493"/>
      <c r="AA38" s="40">
        <f t="shared" si="21"/>
        <v>122.92111834822232</v>
      </c>
      <c r="AB38" s="40">
        <f t="shared" si="22"/>
        <v>127.60491484542558</v>
      </c>
      <c r="AC38" s="80">
        <v>204439</v>
      </c>
      <c r="AD38" s="80">
        <v>258877</v>
      </c>
      <c r="AE38" s="52">
        <f>+ROUND(AD38/$AC$4,5)</f>
        <v>1.8E-3</v>
      </c>
      <c r="AF38" s="59"/>
      <c r="AG38" s="40">
        <f t="shared" si="16"/>
        <v>126.62799172369263</v>
      </c>
      <c r="AH38" s="40">
        <f t="shared" si="23"/>
        <v>135.54834149278739</v>
      </c>
    </row>
    <row r="39" spans="1:34" ht="17.25" customHeight="1" x14ac:dyDescent="0.2">
      <c r="A39" s="1401"/>
      <c r="B39" s="7"/>
      <c r="C39" s="7" t="s">
        <v>3</v>
      </c>
      <c r="D39" s="7"/>
      <c r="E39" s="7"/>
      <c r="F39" s="39"/>
      <c r="G39" s="36"/>
      <c r="H39" s="7"/>
      <c r="I39" s="39"/>
      <c r="J39" s="39"/>
      <c r="K39" s="36">
        <v>1565038761</v>
      </c>
      <c r="L39" s="36">
        <v>826606292</v>
      </c>
      <c r="M39" s="38">
        <f>+L39/L38</f>
        <v>9585.1746561840482</v>
      </c>
      <c r="N39" s="38"/>
      <c r="O39" s="38">
        <f t="shared" si="18"/>
        <v>52.816985278487941</v>
      </c>
      <c r="P39" s="38"/>
      <c r="Q39" s="36">
        <v>1660209925</v>
      </c>
      <c r="R39" s="36">
        <v>1185427909</v>
      </c>
      <c r="S39" s="38">
        <f>+R39/R38</f>
        <v>7920.3302554303164</v>
      </c>
      <c r="T39" s="59">
        <f>+S39/$T$4</f>
        <v>6618.9505589892779</v>
      </c>
      <c r="U39" s="38">
        <f t="shared" si="19"/>
        <v>71.402290225436403</v>
      </c>
      <c r="V39" s="38">
        <f t="shared" si="20"/>
        <v>143.40901109424414</v>
      </c>
      <c r="W39" s="491">
        <v>1412717943</v>
      </c>
      <c r="X39" s="491">
        <v>1586193304</v>
      </c>
      <c r="Y39" s="495">
        <f>+X39/X38</f>
        <v>8305.3292352802582</v>
      </c>
      <c r="Z39" s="493">
        <f>+Y39/$Z$4</f>
        <v>6913.7712370883246</v>
      </c>
      <c r="AA39" s="40">
        <f t="shared" si="21"/>
        <v>112.27954680264156</v>
      </c>
      <c r="AB39" s="40">
        <f t="shared" si="22"/>
        <v>133.80765645530283</v>
      </c>
      <c r="AC39" s="80">
        <v>1864559285</v>
      </c>
      <c r="AD39" s="80">
        <v>2219315077</v>
      </c>
      <c r="AE39" s="38">
        <f>+AD39/AD38</f>
        <v>8572.8553598813342</v>
      </c>
      <c r="AF39" s="59">
        <f>+AE39/$AF$4</f>
        <v>7153.8676293943618</v>
      </c>
      <c r="AG39" s="40">
        <f t="shared" si="16"/>
        <v>119.02625434621137</v>
      </c>
      <c r="AH39" s="40">
        <f t="shared" si="23"/>
        <v>139.91454076898563</v>
      </c>
    </row>
    <row r="40" spans="1:34" ht="17.25" customHeight="1" x14ac:dyDescent="0.2">
      <c r="A40" s="1401" t="s">
        <v>28</v>
      </c>
      <c r="B40" s="7" t="s">
        <v>23</v>
      </c>
      <c r="C40" s="7" t="s">
        <v>6</v>
      </c>
      <c r="D40" s="7"/>
      <c r="E40" s="7"/>
      <c r="F40" s="39"/>
      <c r="G40" s="36"/>
      <c r="H40" s="7"/>
      <c r="I40" s="39"/>
      <c r="J40" s="39"/>
      <c r="K40" s="36">
        <v>6731312</v>
      </c>
      <c r="L40" s="36">
        <v>1895209</v>
      </c>
      <c r="M40" s="52">
        <f>+L40/$K$4</f>
        <v>1.2972827258206527E-2</v>
      </c>
      <c r="N40" s="52"/>
      <c r="O40" s="38">
        <f t="shared" si="18"/>
        <v>28.155120428231523</v>
      </c>
      <c r="P40" s="38"/>
      <c r="Q40" s="36">
        <v>3901829</v>
      </c>
      <c r="R40" s="36">
        <v>3761873</v>
      </c>
      <c r="S40" s="52">
        <f>+R40/$Q$4</f>
        <v>2.5857705220828375E-2</v>
      </c>
      <c r="T40" s="59"/>
      <c r="U40" s="38">
        <f t="shared" si="19"/>
        <v>96.413066795085072</v>
      </c>
      <c r="V40" s="38">
        <f t="shared" si="20"/>
        <v>198.49383366161726</v>
      </c>
      <c r="W40" s="491">
        <v>4243110</v>
      </c>
      <c r="X40" s="491">
        <v>4302753</v>
      </c>
      <c r="Y40" s="494">
        <f>+X40/$W$4</f>
        <v>2.9660754005448434E-2</v>
      </c>
      <c r="Z40" s="493"/>
      <c r="AA40" s="40">
        <f t="shared" si="21"/>
        <v>101.40564350205392</v>
      </c>
      <c r="AB40" s="40">
        <f t="shared" si="22"/>
        <v>114.37794417833882</v>
      </c>
      <c r="AC40" s="80">
        <v>3611536</v>
      </c>
      <c r="AD40" s="80">
        <v>3989966</v>
      </c>
      <c r="AE40" s="52">
        <f>+ROUND(AD40/$AC$4,5)</f>
        <v>2.768E-2</v>
      </c>
      <c r="AF40" s="59"/>
      <c r="AG40" s="40">
        <f t="shared" si="16"/>
        <v>110.47836709920655</v>
      </c>
      <c r="AH40" s="40">
        <f t="shared" si="23"/>
        <v>92.73053786726777</v>
      </c>
    </row>
    <row r="41" spans="1:34" ht="17.25" customHeight="1" x14ac:dyDescent="0.2">
      <c r="A41" s="1401"/>
      <c r="B41" s="7"/>
      <c r="C41" s="7" t="s">
        <v>3</v>
      </c>
      <c r="D41" s="7"/>
      <c r="E41" s="7"/>
      <c r="F41" s="39"/>
      <c r="G41" s="36"/>
      <c r="H41" s="7"/>
      <c r="I41" s="39"/>
      <c r="J41" s="39"/>
      <c r="K41" s="36">
        <v>4874609875</v>
      </c>
      <c r="L41" s="36">
        <v>1985710802</v>
      </c>
      <c r="M41" s="38">
        <f>+L41/L40</f>
        <v>1047.7529401770464</v>
      </c>
      <c r="N41" s="38"/>
      <c r="O41" s="38">
        <f t="shared" si="18"/>
        <v>40.735789179436644</v>
      </c>
      <c r="P41" s="38"/>
      <c r="Q41" s="36">
        <v>6955122326</v>
      </c>
      <c r="R41" s="36">
        <v>5473685919</v>
      </c>
      <c r="S41" s="38">
        <f>+R41/R40</f>
        <v>1455.0427191454894</v>
      </c>
      <c r="T41" s="59">
        <f>+S41/$T$4</f>
        <v>1215.9664444090868</v>
      </c>
      <c r="U41" s="38">
        <f t="shared" si="19"/>
        <v>78.700066834741094</v>
      </c>
      <c r="V41" s="38">
        <f t="shared" si="20"/>
        <v>275.65373132315767</v>
      </c>
      <c r="W41" s="491">
        <v>7229677372</v>
      </c>
      <c r="X41" s="491">
        <v>6841121485</v>
      </c>
      <c r="Y41" s="495">
        <f>+X41/X40</f>
        <v>1589.9405531760713</v>
      </c>
      <c r="Z41" s="493">
        <f>+Y41/$Z$4</f>
        <v>1323.5459972536642</v>
      </c>
      <c r="AA41" s="40">
        <f t="shared" si="21"/>
        <v>94.62554320190209</v>
      </c>
      <c r="AB41" s="40">
        <f t="shared" si="22"/>
        <v>124.98198811980465</v>
      </c>
      <c r="AC41" s="80">
        <v>7346896491</v>
      </c>
      <c r="AD41" s="80">
        <v>7533402754</v>
      </c>
      <c r="AE41" s="38">
        <f>+AD41/AD40</f>
        <v>1888.0869546256786</v>
      </c>
      <c r="AF41" s="59">
        <f>+AE41/$AF$4</f>
        <v>1575.5688833137376</v>
      </c>
      <c r="AG41" s="40">
        <f t="shared" si="16"/>
        <v>102.5385720790877</v>
      </c>
      <c r="AH41" s="40">
        <f t="shared" si="23"/>
        <v>110.119412007489</v>
      </c>
    </row>
    <row r="42" spans="1:34" ht="17.25" customHeight="1" x14ac:dyDescent="0.2">
      <c r="A42" s="1401" t="s">
        <v>29</v>
      </c>
      <c r="B42" s="7" t="s">
        <v>23</v>
      </c>
      <c r="C42" s="7" t="s">
        <v>6</v>
      </c>
      <c r="D42" s="7"/>
      <c r="E42" s="7"/>
      <c r="F42" s="39"/>
      <c r="G42" s="36"/>
      <c r="H42" s="7"/>
      <c r="I42" s="39"/>
      <c r="J42" s="39"/>
      <c r="K42" s="36">
        <v>5309693</v>
      </c>
      <c r="L42" s="36">
        <v>25103688</v>
      </c>
      <c r="M42" s="52">
        <f>+L42/$K$4</f>
        <v>0.17183635576229961</v>
      </c>
      <c r="N42" s="52"/>
      <c r="O42" s="38">
        <f t="shared" si="18"/>
        <v>472.78982042841272</v>
      </c>
      <c r="P42" s="38"/>
      <c r="Q42" s="36">
        <v>33557879</v>
      </c>
      <c r="R42" s="36">
        <v>47389480</v>
      </c>
      <c r="S42" s="52">
        <f>+R42/$Q$4</f>
        <v>0.32573752606968437</v>
      </c>
      <c r="T42" s="59"/>
      <c r="U42" s="38">
        <f t="shared" si="19"/>
        <v>141.21714903376343</v>
      </c>
      <c r="V42" s="38">
        <f t="shared" si="20"/>
        <v>188.77497202801436</v>
      </c>
      <c r="W42" s="491">
        <v>32424024</v>
      </c>
      <c r="X42" s="491">
        <v>30809888</v>
      </c>
      <c r="Y42" s="494">
        <f>+X42/$W$4</f>
        <v>0.21238600238113078</v>
      </c>
      <c r="Z42" s="493"/>
      <c r="AA42" s="40">
        <f t="shared" si="21"/>
        <v>95.021790015946209</v>
      </c>
      <c r="AB42" s="40">
        <f t="shared" si="22"/>
        <v>65.014193023430522</v>
      </c>
      <c r="AC42" s="80">
        <v>26594635</v>
      </c>
      <c r="AD42" s="80">
        <v>11962092</v>
      </c>
      <c r="AE42" s="52">
        <f>+ROUND(AD42/$AC$4,5)</f>
        <v>8.2979999999999998E-2</v>
      </c>
      <c r="AF42" s="59"/>
      <c r="AG42" s="40">
        <f t="shared" si="16"/>
        <v>44.979342638092227</v>
      </c>
      <c r="AH42" s="40">
        <f t="shared" si="23"/>
        <v>38.825496541889407</v>
      </c>
    </row>
    <row r="43" spans="1:34" ht="17.25" customHeight="1" x14ac:dyDescent="0.2">
      <c r="A43" s="1401"/>
      <c r="B43" s="7"/>
      <c r="C43" s="7" t="s">
        <v>3</v>
      </c>
      <c r="D43" s="7"/>
      <c r="E43" s="7"/>
      <c r="F43" s="39"/>
      <c r="G43" s="36"/>
      <c r="H43" s="7"/>
      <c r="I43" s="39"/>
      <c r="J43" s="39"/>
      <c r="K43" s="36">
        <v>4154572354</v>
      </c>
      <c r="L43" s="36">
        <v>14466051841</v>
      </c>
      <c r="M43" s="38">
        <f>+L43/L42</f>
        <v>576.25205670975515</v>
      </c>
      <c r="N43" s="38"/>
      <c r="O43" s="38">
        <f t="shared" si="18"/>
        <v>348.1959298908867</v>
      </c>
      <c r="P43" s="38"/>
      <c r="Q43" s="36">
        <v>21072758311</v>
      </c>
      <c r="R43" s="36">
        <v>24880558825</v>
      </c>
      <c r="S43" s="38">
        <f>+R43/R42</f>
        <v>525.02282837878784</v>
      </c>
      <c r="T43" s="59">
        <f>+S43/$T$4</f>
        <v>438.75697493767007</v>
      </c>
      <c r="U43" s="38">
        <f t="shared" si="19"/>
        <v>118.06977737704287</v>
      </c>
      <c r="V43" s="38">
        <f t="shared" si="20"/>
        <v>171.9927392661692</v>
      </c>
      <c r="W43" s="491">
        <v>18103444813</v>
      </c>
      <c r="X43" s="491">
        <v>18256707636</v>
      </c>
      <c r="Y43" s="495">
        <f>+X43/X42</f>
        <v>592.56001307112831</v>
      </c>
      <c r="Z43" s="493">
        <f>+Y43/$Z$4</f>
        <v>493.27657682935956</v>
      </c>
      <c r="AA43" s="40">
        <f t="shared" si="21"/>
        <v>100.8465948032716</v>
      </c>
      <c r="AB43" s="40">
        <f t="shared" si="22"/>
        <v>73.37740186790198</v>
      </c>
      <c r="AC43" s="80">
        <v>11534711700</v>
      </c>
      <c r="AD43" s="80">
        <v>5632025325</v>
      </c>
      <c r="AE43" s="38">
        <f>+AD43/AD42</f>
        <v>470.82277288955811</v>
      </c>
      <c r="AF43" s="59">
        <f>+AE43/$AF$4</f>
        <v>392.89170909363457</v>
      </c>
      <c r="AG43" s="40">
        <f t="shared" si="16"/>
        <v>48.826754161527944</v>
      </c>
      <c r="AH43" s="40">
        <f t="shared" si="23"/>
        <v>30.849074418513077</v>
      </c>
    </row>
    <row r="44" spans="1:34" ht="26.25" customHeight="1" x14ac:dyDescent="0.2">
      <c r="A44" s="1401" t="s">
        <v>30</v>
      </c>
      <c r="B44" s="7" t="s">
        <v>15</v>
      </c>
      <c r="C44" s="7" t="s">
        <v>6</v>
      </c>
      <c r="D44" s="7"/>
      <c r="E44" s="7"/>
      <c r="F44" s="39"/>
      <c r="G44" s="36"/>
      <c r="H44" s="7"/>
      <c r="I44" s="39"/>
      <c r="J44" s="39"/>
      <c r="K44" s="36"/>
      <c r="L44" s="36"/>
      <c r="M44" s="36"/>
      <c r="N44" s="36"/>
      <c r="O44" s="38"/>
      <c r="P44" s="38"/>
      <c r="Q44" s="36"/>
      <c r="R44" s="36"/>
      <c r="S44" s="36"/>
      <c r="T44" s="59"/>
      <c r="U44" s="38"/>
      <c r="V44" s="38"/>
      <c r="W44" s="491">
        <v>459314</v>
      </c>
      <c r="X44" s="491">
        <v>428183</v>
      </c>
      <c r="Y44" s="494">
        <f>+X44/$W$4</f>
        <v>2.9516522636356137E-3</v>
      </c>
      <c r="Z44" s="493"/>
      <c r="AA44" s="40">
        <f t="shared" si="21"/>
        <v>93.222283666511359</v>
      </c>
      <c r="AB44" s="40"/>
      <c r="AC44" s="80">
        <v>471989</v>
      </c>
      <c r="AD44" s="80">
        <v>495162</v>
      </c>
      <c r="AE44" s="52">
        <f>+ROUND(AD44/$AC$4,5)</f>
        <v>3.4299999999999999E-3</v>
      </c>
      <c r="AF44" s="59"/>
      <c r="AG44" s="40">
        <f t="shared" si="16"/>
        <v>104.90964831807521</v>
      </c>
      <c r="AH44" s="40"/>
    </row>
    <row r="45" spans="1:34" ht="17.25" customHeight="1" x14ac:dyDescent="0.2">
      <c r="A45" s="1401"/>
      <c r="B45" s="7"/>
      <c r="C45" s="7" t="s">
        <v>3</v>
      </c>
      <c r="D45" s="7"/>
      <c r="E45" s="7"/>
      <c r="F45" s="39"/>
      <c r="G45" s="36"/>
      <c r="H45" s="7"/>
      <c r="I45" s="39"/>
      <c r="J45" s="39"/>
      <c r="K45" s="36"/>
      <c r="L45" s="36"/>
      <c r="M45" s="36"/>
      <c r="N45" s="36"/>
      <c r="O45" s="38"/>
      <c r="P45" s="38"/>
      <c r="Q45" s="36"/>
      <c r="R45" s="36"/>
      <c r="S45" s="36"/>
      <c r="T45" s="59"/>
      <c r="U45" s="38"/>
      <c r="V45" s="38"/>
      <c r="W45" s="491">
        <v>7938078889</v>
      </c>
      <c r="X45" s="491">
        <v>5605434569</v>
      </c>
      <c r="Y45" s="495">
        <f>+X45/X44</f>
        <v>13091.212329774886</v>
      </c>
      <c r="Z45" s="493">
        <f>+Y45/$Z$4</f>
        <v>10897.779570223076</v>
      </c>
      <c r="AA45" s="40">
        <f t="shared" si="21"/>
        <v>70.614498134650631</v>
      </c>
      <c r="AB45" s="40"/>
      <c r="AC45" s="80">
        <v>10523056456</v>
      </c>
      <c r="AD45" s="80">
        <v>8885820017</v>
      </c>
      <c r="AE45" s="38">
        <f>+AD45/AD44</f>
        <v>17945.27854924247</v>
      </c>
      <c r="AF45" s="59">
        <f>+AE45/$AF$4</f>
        <v>14974.957808651019</v>
      </c>
      <c r="AG45" s="40">
        <f t="shared" si="16"/>
        <v>84.441436327498877</v>
      </c>
      <c r="AH45" s="40"/>
    </row>
    <row r="46" spans="1:34" ht="17.25" customHeight="1" x14ac:dyDescent="0.2">
      <c r="A46" s="1400" t="s">
        <v>31</v>
      </c>
      <c r="B46" s="7" t="s">
        <v>32</v>
      </c>
      <c r="C46" s="7" t="s">
        <v>6</v>
      </c>
      <c r="D46" s="36">
        <v>212397152</v>
      </c>
      <c r="E46" s="36">
        <v>229807435</v>
      </c>
      <c r="F46" s="38">
        <f t="shared" ref="F46:F51" si="28">E46/D46*100</f>
        <v>108.19704164394821</v>
      </c>
      <c r="G46" s="36">
        <v>217238008</v>
      </c>
      <c r="H46" s="36">
        <v>224301960</v>
      </c>
      <c r="I46" s="38">
        <f t="shared" ref="I46:I51" si="29">H46/G46*100</f>
        <v>103.25171090686855</v>
      </c>
      <c r="J46" s="38">
        <f t="shared" ref="J46:J51" si="30">H46/E46*100</f>
        <v>97.604309451519697</v>
      </c>
      <c r="K46" s="36">
        <v>212750244</v>
      </c>
      <c r="L46" s="36">
        <v>189161040</v>
      </c>
      <c r="M46" s="36"/>
      <c r="N46" s="36"/>
      <c r="O46" s="38">
        <f t="shared" ref="O46:O65" si="31">L46/K46*100</f>
        <v>88.912255254569772</v>
      </c>
      <c r="P46" s="38">
        <f t="shared" ref="P46:P65" si="32">L46/H46*100</f>
        <v>84.33320867994199</v>
      </c>
      <c r="Q46" s="36">
        <v>199947489</v>
      </c>
      <c r="R46" s="36">
        <v>196060220</v>
      </c>
      <c r="S46" s="52"/>
      <c r="T46" s="59"/>
      <c r="U46" s="38">
        <f t="shared" ref="U46:U65" si="33">R46/Q46*100</f>
        <v>98.055855055023983</v>
      </c>
      <c r="V46" s="38">
        <f t="shared" ref="V46:V65" si="34">R46/L46*100</f>
        <v>103.64725209800072</v>
      </c>
      <c r="W46" s="491">
        <v>196532106</v>
      </c>
      <c r="X46" s="491">
        <v>184296078</v>
      </c>
      <c r="Y46" s="494"/>
      <c r="Z46" s="493"/>
      <c r="AA46" s="40">
        <f t="shared" ref="AA46:AA65" si="35">X46/W46*100</f>
        <v>93.774030997255991</v>
      </c>
      <c r="AB46" s="40">
        <f t="shared" ref="AB46:AB65" si="36">X46/R46*100</f>
        <v>93.999730286949585</v>
      </c>
      <c r="AC46" s="80">
        <v>194025574</v>
      </c>
      <c r="AD46" s="80">
        <v>187902715</v>
      </c>
      <c r="AE46" s="52"/>
      <c r="AF46" s="59"/>
      <c r="AG46" s="40">
        <f t="shared" si="16"/>
        <v>96.844303112330948</v>
      </c>
      <c r="AH46" s="40">
        <f t="shared" ref="AH46:AH65" si="37">AD46/X46*100</f>
        <v>101.95697978987918</v>
      </c>
    </row>
    <row r="47" spans="1:34" ht="17.25" customHeight="1" x14ac:dyDescent="0.2">
      <c r="A47" s="1400"/>
      <c r="B47" s="7" t="s">
        <v>33</v>
      </c>
      <c r="C47" s="7" t="s">
        <v>6</v>
      </c>
      <c r="D47" s="36">
        <v>25352116</v>
      </c>
      <c r="E47" s="36">
        <v>26551989</v>
      </c>
      <c r="F47" s="38">
        <f t="shared" si="28"/>
        <v>104.73283176836206</v>
      </c>
      <c r="G47" s="36">
        <v>25567908</v>
      </c>
      <c r="H47" s="36">
        <v>26293852</v>
      </c>
      <c r="I47" s="38">
        <f t="shared" si="29"/>
        <v>102.83927805121952</v>
      </c>
      <c r="J47" s="38">
        <f t="shared" si="30"/>
        <v>99.027805412242373</v>
      </c>
      <c r="K47" s="36">
        <v>25648147</v>
      </c>
      <c r="L47" s="36">
        <v>22465444</v>
      </c>
      <c r="M47" s="52">
        <f>+L47/$K$4</f>
        <v>0.15377740623377806</v>
      </c>
      <c r="N47" s="52"/>
      <c r="O47" s="38">
        <f t="shared" si="31"/>
        <v>87.59090471526072</v>
      </c>
      <c r="P47" s="38">
        <f t="shared" si="32"/>
        <v>85.439911961168718</v>
      </c>
      <c r="Q47" s="36">
        <v>24027699</v>
      </c>
      <c r="R47" s="36">
        <v>23478302</v>
      </c>
      <c r="S47" s="52">
        <f>+R47/$Q$4</f>
        <v>0.16138104933409109</v>
      </c>
      <c r="T47" s="59"/>
      <c r="U47" s="38">
        <f t="shared" si="33"/>
        <v>97.713484757737319</v>
      </c>
      <c r="V47" s="38">
        <f t="shared" si="34"/>
        <v>104.50851538923513</v>
      </c>
      <c r="W47" s="491">
        <v>24144551</v>
      </c>
      <c r="X47" s="491">
        <v>23486429</v>
      </c>
      <c r="Y47" s="494">
        <f>+X47/$W$4</f>
        <v>0.16190220378335227</v>
      </c>
      <c r="Z47" s="493"/>
      <c r="AA47" s="40">
        <f t="shared" si="35"/>
        <v>97.274242126101257</v>
      </c>
      <c r="AB47" s="40">
        <f t="shared" si="36"/>
        <v>100.03461493935974</v>
      </c>
      <c r="AC47" s="80">
        <v>24480443</v>
      </c>
      <c r="AD47" s="80">
        <v>24106066</v>
      </c>
      <c r="AE47" s="52">
        <f>+ROUND(AD47/$AC$4,5)</f>
        <v>0.16722000000000001</v>
      </c>
      <c r="AF47" s="59"/>
      <c r="AG47" s="40">
        <f t="shared" si="16"/>
        <v>98.470709864196493</v>
      </c>
      <c r="AH47" s="40">
        <f t="shared" si="37"/>
        <v>102.63827676825625</v>
      </c>
    </row>
    <row r="48" spans="1:34" ht="17.25" customHeight="1" x14ac:dyDescent="0.2">
      <c r="A48" s="1400"/>
      <c r="B48" s="7"/>
      <c r="C48" s="7" t="s">
        <v>3</v>
      </c>
      <c r="D48" s="36">
        <v>928498323614</v>
      </c>
      <c r="E48" s="36">
        <v>939631008594</v>
      </c>
      <c r="F48" s="38">
        <f t="shared" si="28"/>
        <v>101.19899893159399</v>
      </c>
      <c r="G48" s="36">
        <v>1020433665667</v>
      </c>
      <c r="H48" s="36">
        <v>1045831000177</v>
      </c>
      <c r="I48" s="38">
        <f t="shared" si="29"/>
        <v>102.48887657909631</v>
      </c>
      <c r="J48" s="38">
        <f t="shared" si="30"/>
        <v>111.30230809878343</v>
      </c>
      <c r="K48" s="36">
        <v>1116385494996</v>
      </c>
      <c r="L48" s="36">
        <v>1157596879511</v>
      </c>
      <c r="M48" s="38">
        <f>+L48/L47</f>
        <v>51527.887875752647</v>
      </c>
      <c r="N48" s="59">
        <f>+M48/$T$4</f>
        <v>43061.40416618521</v>
      </c>
      <c r="O48" s="38">
        <f t="shared" si="31"/>
        <v>103.69150125111108</v>
      </c>
      <c r="P48" s="38">
        <f t="shared" si="32"/>
        <v>110.68680114809031</v>
      </c>
      <c r="Q48" s="36">
        <v>1114968325568</v>
      </c>
      <c r="R48" s="36">
        <v>1322671629446</v>
      </c>
      <c r="S48" s="38">
        <f>+R48/R47</f>
        <v>56335.915154596783</v>
      </c>
      <c r="T48" s="59">
        <f>+S48/$T$4</f>
        <v>47079.430412391543</v>
      </c>
      <c r="U48" s="38">
        <f t="shared" si="33"/>
        <v>118.62862819642785</v>
      </c>
      <c r="V48" s="38">
        <f t="shared" si="34"/>
        <v>114.26012395651344</v>
      </c>
      <c r="W48" s="491">
        <v>1125106817904</v>
      </c>
      <c r="X48" s="491">
        <v>1228800707783</v>
      </c>
      <c r="Y48" s="495">
        <f>+X48/X47</f>
        <v>52319.605836332121</v>
      </c>
      <c r="Z48" s="493">
        <f>+Y48/$Z$4</f>
        <v>43553.455344124624</v>
      </c>
      <c r="AA48" s="40">
        <f t="shared" si="35"/>
        <v>109.21635956950068</v>
      </c>
      <c r="AB48" s="40">
        <f t="shared" si="36"/>
        <v>92.902930737063002</v>
      </c>
      <c r="AC48" s="80">
        <v>1214253509913</v>
      </c>
      <c r="AD48" s="80">
        <v>1267091937152</v>
      </c>
      <c r="AE48" s="38">
        <f>+AD48/AD47</f>
        <v>52563.198704923481</v>
      </c>
      <c r="AF48" s="59">
        <f>+AE48/$AF$4</f>
        <v>43862.88464311391</v>
      </c>
      <c r="AG48" s="40">
        <f t="shared" si="16"/>
        <v>104.35151529788749</v>
      </c>
      <c r="AH48" s="40">
        <f t="shared" si="37"/>
        <v>103.11614642850304</v>
      </c>
    </row>
    <row r="49" spans="1:34" ht="15.75" customHeight="1" x14ac:dyDescent="0.2">
      <c r="A49" s="1399" t="s">
        <v>34</v>
      </c>
      <c r="B49" s="7" t="s">
        <v>32</v>
      </c>
      <c r="C49" s="7" t="s">
        <v>6</v>
      </c>
      <c r="D49" s="36">
        <v>7015298</v>
      </c>
      <c r="E49" s="36">
        <v>6123482</v>
      </c>
      <c r="F49" s="38">
        <f t="shared" si="28"/>
        <v>87.287553572207472</v>
      </c>
      <c r="G49" s="36">
        <v>8300602</v>
      </c>
      <c r="H49" s="36">
        <v>6886140</v>
      </c>
      <c r="I49" s="38">
        <f t="shared" si="29"/>
        <v>82.95952510432376</v>
      </c>
      <c r="J49" s="38">
        <f t="shared" si="30"/>
        <v>112.45464590244569</v>
      </c>
      <c r="K49" s="36">
        <v>9523361</v>
      </c>
      <c r="L49" s="36">
        <v>4620039</v>
      </c>
      <c r="M49" s="36"/>
      <c r="N49" s="36"/>
      <c r="O49" s="38">
        <f t="shared" si="31"/>
        <v>48.512694205333602</v>
      </c>
      <c r="P49" s="38">
        <f t="shared" si="32"/>
        <v>67.091854072092644</v>
      </c>
      <c r="Q49" s="36">
        <v>8172492</v>
      </c>
      <c r="R49" s="36">
        <v>4827249</v>
      </c>
      <c r="S49" s="36"/>
      <c r="T49" s="59"/>
      <c r="U49" s="38">
        <f t="shared" si="33"/>
        <v>59.067038548339966</v>
      </c>
      <c r="V49" s="38">
        <f t="shared" si="34"/>
        <v>104.48502707444678</v>
      </c>
      <c r="W49" s="491">
        <v>8592013</v>
      </c>
      <c r="X49" s="491">
        <v>6233542</v>
      </c>
      <c r="Y49" s="492"/>
      <c r="Z49" s="493"/>
      <c r="AA49" s="40">
        <f t="shared" si="35"/>
        <v>72.550425610389553</v>
      </c>
      <c r="AB49" s="40">
        <f t="shared" si="36"/>
        <v>129.13238989743434</v>
      </c>
      <c r="AC49" s="80">
        <v>9955019</v>
      </c>
      <c r="AD49" s="80">
        <v>8167029</v>
      </c>
      <c r="AE49" s="36"/>
      <c r="AF49" s="59"/>
      <c r="AG49" s="40">
        <f t="shared" si="16"/>
        <v>82.039311024921204</v>
      </c>
      <c r="AH49" s="40">
        <f t="shared" si="37"/>
        <v>131.01746968256572</v>
      </c>
    </row>
    <row r="50" spans="1:34" ht="15.75" customHeight="1" x14ac:dyDescent="0.2">
      <c r="A50" s="1399"/>
      <c r="B50" s="7" t="s">
        <v>33</v>
      </c>
      <c r="C50" s="7" t="s">
        <v>6</v>
      </c>
      <c r="D50" s="36">
        <v>371083</v>
      </c>
      <c r="E50" s="36">
        <v>423465</v>
      </c>
      <c r="F50" s="38">
        <f t="shared" si="28"/>
        <v>114.11597944395189</v>
      </c>
      <c r="G50" s="36">
        <v>555450</v>
      </c>
      <c r="H50" s="36">
        <v>494757</v>
      </c>
      <c r="I50" s="38">
        <f t="shared" si="29"/>
        <v>89.073183904941942</v>
      </c>
      <c r="J50" s="38">
        <f t="shared" si="30"/>
        <v>116.83539371612765</v>
      </c>
      <c r="K50" s="36">
        <v>688393</v>
      </c>
      <c r="L50" s="36">
        <v>354301</v>
      </c>
      <c r="M50" s="36"/>
      <c r="N50" s="36"/>
      <c r="O50" s="38">
        <f t="shared" si="31"/>
        <v>51.467838865299328</v>
      </c>
      <c r="P50" s="38">
        <f t="shared" si="32"/>
        <v>71.61111414290248</v>
      </c>
      <c r="Q50" s="36">
        <v>609300</v>
      </c>
      <c r="R50" s="36">
        <v>380224</v>
      </c>
      <c r="S50" s="52">
        <f>+R50/$Q$4</f>
        <v>2.6135172851088403E-3</v>
      </c>
      <c r="T50" s="59"/>
      <c r="U50" s="38">
        <f t="shared" si="33"/>
        <v>62.403413753487612</v>
      </c>
      <c r="V50" s="38">
        <f t="shared" si="34"/>
        <v>107.31666012797028</v>
      </c>
      <c r="W50" s="491">
        <v>620386</v>
      </c>
      <c r="X50" s="491">
        <v>503482</v>
      </c>
      <c r="Y50" s="494">
        <f>+X50/$W$4</f>
        <v>3.4707211285823726E-3</v>
      </c>
      <c r="Z50" s="493"/>
      <c r="AA50" s="40">
        <f t="shared" si="35"/>
        <v>81.156247884381656</v>
      </c>
      <c r="AB50" s="40">
        <f t="shared" si="36"/>
        <v>132.41720669920889</v>
      </c>
      <c r="AC50" s="80">
        <v>729847</v>
      </c>
      <c r="AD50" s="80">
        <v>635591</v>
      </c>
      <c r="AE50" s="52">
        <f>+ROUND(AD50/$AC$4,5)</f>
        <v>4.4099999999999999E-3</v>
      </c>
      <c r="AF50" s="59"/>
      <c r="AG50" s="40">
        <f t="shared" si="16"/>
        <v>87.085512443018871</v>
      </c>
      <c r="AH50" s="40">
        <f t="shared" si="37"/>
        <v>126.23907110879833</v>
      </c>
    </row>
    <row r="51" spans="1:34" ht="15.75" customHeight="1" x14ac:dyDescent="0.2">
      <c r="A51" s="1399"/>
      <c r="B51" s="7"/>
      <c r="C51" s="7" t="s">
        <v>3</v>
      </c>
      <c r="D51" s="36">
        <v>19561618485</v>
      </c>
      <c r="E51" s="36">
        <v>18236240866</v>
      </c>
      <c r="F51" s="38">
        <f t="shared" si="28"/>
        <v>93.224601430519101</v>
      </c>
      <c r="G51" s="36">
        <v>23473113461</v>
      </c>
      <c r="H51" s="36">
        <v>22001929039</v>
      </c>
      <c r="I51" s="38">
        <f t="shared" si="29"/>
        <v>93.732470025996605</v>
      </c>
      <c r="J51" s="38">
        <f t="shared" si="30"/>
        <v>120.64947595653237</v>
      </c>
      <c r="K51" s="36">
        <v>30404743777</v>
      </c>
      <c r="L51" s="36">
        <v>18251280954</v>
      </c>
      <c r="M51" s="36"/>
      <c r="N51" s="36"/>
      <c r="O51" s="38">
        <f t="shared" si="31"/>
        <v>60.027741354644739</v>
      </c>
      <c r="P51" s="38">
        <f t="shared" si="32"/>
        <v>82.953094347537856</v>
      </c>
      <c r="Q51" s="36">
        <v>27043802026</v>
      </c>
      <c r="R51" s="36">
        <v>17207065916</v>
      </c>
      <c r="S51" s="38">
        <f>+R51/R50</f>
        <v>45255.075734303988</v>
      </c>
      <c r="T51" s="59">
        <f>+S51/$T$4</f>
        <v>37819.270051687919</v>
      </c>
      <c r="U51" s="38">
        <f t="shared" si="33"/>
        <v>63.626652419127574</v>
      </c>
      <c r="V51" s="38">
        <f t="shared" si="34"/>
        <v>94.278675339929237</v>
      </c>
      <c r="W51" s="491">
        <v>29228970456</v>
      </c>
      <c r="X51" s="491">
        <v>24624769944</v>
      </c>
      <c r="Y51" s="495">
        <f>+X51/X50</f>
        <v>48908.938043465307</v>
      </c>
      <c r="Z51" s="493">
        <f>+Y51/$Z$4</f>
        <v>40714.244974785135</v>
      </c>
      <c r="AA51" s="40">
        <f t="shared" si="35"/>
        <v>84.247818379607452</v>
      </c>
      <c r="AB51" s="40">
        <f t="shared" si="36"/>
        <v>143.10847685602602</v>
      </c>
      <c r="AC51" s="80">
        <v>38817972797</v>
      </c>
      <c r="AD51" s="80">
        <v>35534317013</v>
      </c>
      <c r="AE51" s="38">
        <f>+AD51/AD50</f>
        <v>55907.520737392442</v>
      </c>
      <c r="AF51" s="59">
        <f>+AE51/$AF$4</f>
        <v>46653.651094430927</v>
      </c>
      <c r="AG51" s="40">
        <f t="shared" si="16"/>
        <v>91.540888028408901</v>
      </c>
      <c r="AH51" s="40">
        <f t="shared" si="37"/>
        <v>144.30314311081793</v>
      </c>
    </row>
    <row r="52" spans="1:34" ht="15.75" customHeight="1" x14ac:dyDescent="0.2">
      <c r="A52" s="1399" t="s">
        <v>35</v>
      </c>
      <c r="B52" s="7" t="s">
        <v>32</v>
      </c>
      <c r="C52" s="7" t="s">
        <v>6</v>
      </c>
      <c r="D52" s="7"/>
      <c r="E52" s="7"/>
      <c r="F52" s="39"/>
      <c r="G52" s="36">
        <v>1608870</v>
      </c>
      <c r="H52" s="36">
        <v>1442594</v>
      </c>
      <c r="I52" s="38"/>
      <c r="J52" s="38"/>
      <c r="K52" s="36">
        <v>1638333</v>
      </c>
      <c r="L52" s="36">
        <v>1009579</v>
      </c>
      <c r="M52" s="36"/>
      <c r="N52" s="36"/>
      <c r="O52" s="38">
        <f t="shared" si="31"/>
        <v>61.622331967921049</v>
      </c>
      <c r="P52" s="38">
        <f t="shared" si="32"/>
        <v>69.983585125128769</v>
      </c>
      <c r="Q52" s="36">
        <v>1381585</v>
      </c>
      <c r="R52" s="36">
        <v>1010089</v>
      </c>
      <c r="S52" s="36"/>
      <c r="T52" s="59"/>
      <c r="U52" s="38">
        <f t="shared" si="33"/>
        <v>73.110883514224597</v>
      </c>
      <c r="V52" s="38">
        <f t="shared" si="34"/>
        <v>100.05051610621854</v>
      </c>
      <c r="W52" s="491">
        <v>1556348</v>
      </c>
      <c r="X52" s="491">
        <v>1279435</v>
      </c>
      <c r="Y52" s="492"/>
      <c r="Z52" s="493"/>
      <c r="AA52" s="40">
        <f t="shared" si="35"/>
        <v>82.207514000724771</v>
      </c>
      <c r="AB52" s="40">
        <f t="shared" si="36"/>
        <v>126.66557105363982</v>
      </c>
      <c r="AC52" s="80">
        <v>1905201</v>
      </c>
      <c r="AD52" s="80">
        <v>1575341</v>
      </c>
      <c r="AE52" s="36"/>
      <c r="AF52" s="59"/>
      <c r="AG52" s="40">
        <f t="shared" si="16"/>
        <v>82.686341231187683</v>
      </c>
      <c r="AH52" s="40">
        <f t="shared" si="37"/>
        <v>123.12786503417523</v>
      </c>
    </row>
    <row r="53" spans="1:34" ht="15.75" customHeight="1" x14ac:dyDescent="0.2">
      <c r="A53" s="1399"/>
      <c r="B53" s="7" t="s">
        <v>33</v>
      </c>
      <c r="C53" s="7" t="s">
        <v>6</v>
      </c>
      <c r="D53" s="7"/>
      <c r="E53" s="7"/>
      <c r="F53" s="39"/>
      <c r="G53" s="36">
        <v>109777</v>
      </c>
      <c r="H53" s="36">
        <v>101755</v>
      </c>
      <c r="I53" s="38"/>
      <c r="J53" s="38"/>
      <c r="K53" s="36">
        <v>120940</v>
      </c>
      <c r="L53" s="36">
        <v>76148</v>
      </c>
      <c r="M53" s="36"/>
      <c r="N53" s="36"/>
      <c r="O53" s="38">
        <f t="shared" si="31"/>
        <v>62.963452951876967</v>
      </c>
      <c r="P53" s="38">
        <f t="shared" si="32"/>
        <v>74.834651859859463</v>
      </c>
      <c r="Q53" s="36">
        <v>106033</v>
      </c>
      <c r="R53" s="36">
        <v>76982</v>
      </c>
      <c r="S53" s="36"/>
      <c r="T53" s="59"/>
      <c r="U53" s="38">
        <f t="shared" si="33"/>
        <v>72.601925815547986</v>
      </c>
      <c r="V53" s="38">
        <f t="shared" si="34"/>
        <v>101.09523559384357</v>
      </c>
      <c r="W53" s="491">
        <v>117121</v>
      </c>
      <c r="X53" s="491">
        <v>98914</v>
      </c>
      <c r="Y53" s="492"/>
      <c r="Z53" s="493"/>
      <c r="AA53" s="40">
        <f t="shared" si="35"/>
        <v>84.454538468763076</v>
      </c>
      <c r="AB53" s="40">
        <f t="shared" si="36"/>
        <v>128.48977683094748</v>
      </c>
      <c r="AC53" s="80">
        <v>147842</v>
      </c>
      <c r="AD53" s="80">
        <v>122563</v>
      </c>
      <c r="AE53" s="36"/>
      <c r="AF53" s="59"/>
      <c r="AG53" s="40">
        <f t="shared" si="16"/>
        <v>82.901340620392034</v>
      </c>
      <c r="AH53" s="40">
        <f t="shared" si="37"/>
        <v>123.90864791637179</v>
      </c>
    </row>
    <row r="54" spans="1:34" ht="15.75" customHeight="1" x14ac:dyDescent="0.2">
      <c r="A54" s="1399"/>
      <c r="B54" s="7"/>
      <c r="C54" s="7" t="s">
        <v>3</v>
      </c>
      <c r="D54" s="7"/>
      <c r="E54" s="7"/>
      <c r="F54" s="39"/>
      <c r="G54" s="36">
        <v>4400837499</v>
      </c>
      <c r="H54" s="36">
        <v>5179424728</v>
      </c>
      <c r="I54" s="38"/>
      <c r="J54" s="38"/>
      <c r="K54" s="36">
        <v>4987734679</v>
      </c>
      <c r="L54" s="36">
        <v>4282246129</v>
      </c>
      <c r="M54" s="36"/>
      <c r="N54" s="36"/>
      <c r="O54" s="38">
        <f t="shared" si="31"/>
        <v>85.855531711212734</v>
      </c>
      <c r="P54" s="38">
        <f t="shared" si="32"/>
        <v>82.678026110702078</v>
      </c>
      <c r="Q54" s="36">
        <v>4782252977</v>
      </c>
      <c r="R54" s="36">
        <v>3931670322</v>
      </c>
      <c r="S54" s="36"/>
      <c r="T54" s="59"/>
      <c r="U54" s="38">
        <f t="shared" si="33"/>
        <v>82.213767044720683</v>
      </c>
      <c r="V54" s="38">
        <f t="shared" si="34"/>
        <v>91.813272837685602</v>
      </c>
      <c r="W54" s="491">
        <v>5808428706</v>
      </c>
      <c r="X54" s="491">
        <v>5061614910</v>
      </c>
      <c r="Y54" s="492"/>
      <c r="Z54" s="493"/>
      <c r="AA54" s="40">
        <f t="shared" si="35"/>
        <v>87.142584788403184</v>
      </c>
      <c r="AB54" s="40">
        <f t="shared" si="36"/>
        <v>128.73955584926077</v>
      </c>
      <c r="AC54" s="80">
        <v>8168678537</v>
      </c>
      <c r="AD54" s="80">
        <v>6628321564</v>
      </c>
      <c r="AE54" s="36"/>
      <c r="AF54" s="59"/>
      <c r="AG54" s="40">
        <f t="shared" si="16"/>
        <v>81.143131462170302</v>
      </c>
      <c r="AH54" s="40">
        <f t="shared" si="37"/>
        <v>130.95270347226</v>
      </c>
    </row>
    <row r="55" spans="1:34" ht="15.75" customHeight="1" x14ac:dyDescent="0.2">
      <c r="A55" s="1399" t="s">
        <v>36</v>
      </c>
      <c r="B55" s="7" t="s">
        <v>32</v>
      </c>
      <c r="C55" s="7" t="s">
        <v>6</v>
      </c>
      <c r="D55" s="7"/>
      <c r="E55" s="7"/>
      <c r="F55" s="39"/>
      <c r="G55" s="36">
        <v>12634515</v>
      </c>
      <c r="H55" s="36">
        <v>12829927</v>
      </c>
      <c r="I55" s="38"/>
      <c r="J55" s="38"/>
      <c r="K55" s="36">
        <v>12426698</v>
      </c>
      <c r="L55" s="36">
        <v>11573008</v>
      </c>
      <c r="M55" s="36"/>
      <c r="N55" s="36"/>
      <c r="O55" s="38">
        <f t="shared" si="31"/>
        <v>93.130194360561418</v>
      </c>
      <c r="P55" s="38">
        <f t="shared" si="32"/>
        <v>90.203225630200393</v>
      </c>
      <c r="Q55" s="36">
        <v>11488308</v>
      </c>
      <c r="R55" s="36">
        <v>10612933</v>
      </c>
      <c r="S55" s="36"/>
      <c r="T55" s="59"/>
      <c r="U55" s="38">
        <f t="shared" si="33"/>
        <v>92.380296558901449</v>
      </c>
      <c r="V55" s="38">
        <f t="shared" si="34"/>
        <v>91.70418788270085</v>
      </c>
      <c r="W55" s="491">
        <v>11884161</v>
      </c>
      <c r="X55" s="491">
        <v>10734570</v>
      </c>
      <c r="Y55" s="492"/>
      <c r="Z55" s="493"/>
      <c r="AA55" s="40">
        <f t="shared" si="35"/>
        <v>90.326696179898605</v>
      </c>
      <c r="AB55" s="40">
        <f t="shared" si="36"/>
        <v>101.14612049279874</v>
      </c>
      <c r="AC55" s="80">
        <v>10949762</v>
      </c>
      <c r="AD55" s="80">
        <v>10873028</v>
      </c>
      <c r="AE55" s="36"/>
      <c r="AF55" s="59"/>
      <c r="AG55" s="40">
        <f t="shared" si="16"/>
        <v>99.299217645095851</v>
      </c>
      <c r="AH55" s="40">
        <f t="shared" si="37"/>
        <v>101.28983275529436</v>
      </c>
    </row>
    <row r="56" spans="1:34" ht="16.5" customHeight="1" x14ac:dyDescent="0.2">
      <c r="A56" s="1399"/>
      <c r="B56" s="7" t="s">
        <v>33</v>
      </c>
      <c r="C56" s="7" t="s">
        <v>6</v>
      </c>
      <c r="D56" s="7"/>
      <c r="E56" s="7"/>
      <c r="F56" s="39"/>
      <c r="G56" s="36">
        <v>1337125</v>
      </c>
      <c r="H56" s="36">
        <v>1435646</v>
      </c>
      <c r="I56" s="38"/>
      <c r="J56" s="38"/>
      <c r="K56" s="36">
        <v>1464432</v>
      </c>
      <c r="L56" s="36">
        <v>1426465</v>
      </c>
      <c r="M56" s="36"/>
      <c r="N56" s="36"/>
      <c r="O56" s="38">
        <f t="shared" si="31"/>
        <v>97.407390715308054</v>
      </c>
      <c r="P56" s="38">
        <f t="shared" si="32"/>
        <v>99.360496947018973</v>
      </c>
      <c r="Q56" s="36">
        <v>1379888</v>
      </c>
      <c r="R56" s="36">
        <v>1414855</v>
      </c>
      <c r="S56" s="52">
        <f>+R56/$Q$4</f>
        <v>9.7251830458431558E-3</v>
      </c>
      <c r="T56" s="59"/>
      <c r="U56" s="38">
        <f t="shared" si="33"/>
        <v>102.5340462414341</v>
      </c>
      <c r="V56" s="38">
        <f t="shared" si="34"/>
        <v>99.186099904308904</v>
      </c>
      <c r="W56" s="491">
        <v>1418724</v>
      </c>
      <c r="X56" s="491">
        <v>1476385</v>
      </c>
      <c r="Y56" s="494">
        <f>+X56/$W$4</f>
        <v>1.0177366049674241E-2</v>
      </c>
      <c r="Z56" s="493"/>
      <c r="AA56" s="40">
        <f t="shared" si="35"/>
        <v>104.06428593581273</v>
      </c>
      <c r="AB56" s="40">
        <f t="shared" si="36"/>
        <v>104.34885553643308</v>
      </c>
      <c r="AC56" s="80">
        <v>1343651</v>
      </c>
      <c r="AD56" s="80">
        <v>1474989</v>
      </c>
      <c r="AE56" s="52">
        <f>+ROUND(AD56/$AC$4,5)</f>
        <v>1.023E-2</v>
      </c>
      <c r="AF56" s="59"/>
      <c r="AG56" s="40">
        <f t="shared" si="16"/>
        <v>109.77471084381287</v>
      </c>
      <c r="AH56" s="40">
        <f t="shared" si="37"/>
        <v>99.905444718010557</v>
      </c>
    </row>
    <row r="57" spans="1:34" ht="16.5" customHeight="1" x14ac:dyDescent="0.2">
      <c r="A57" s="1399"/>
      <c r="B57" s="7"/>
      <c r="C57" s="7" t="s">
        <v>3</v>
      </c>
      <c r="D57" s="7"/>
      <c r="E57" s="7"/>
      <c r="F57" s="39"/>
      <c r="G57" s="36">
        <v>122591391438</v>
      </c>
      <c r="H57" s="36">
        <v>116574625526</v>
      </c>
      <c r="I57" s="38"/>
      <c r="J57" s="38"/>
      <c r="K57" s="36">
        <v>172317163021</v>
      </c>
      <c r="L57" s="36">
        <v>152274383134</v>
      </c>
      <c r="M57" s="36"/>
      <c r="N57" s="36"/>
      <c r="O57" s="38">
        <f t="shared" si="31"/>
        <v>88.368668833900529</v>
      </c>
      <c r="P57" s="38">
        <f t="shared" si="32"/>
        <v>130.62395220822543</v>
      </c>
      <c r="Q57" s="36">
        <v>171040143728</v>
      </c>
      <c r="R57" s="36">
        <v>151328245904</v>
      </c>
      <c r="S57" s="38">
        <f>+R57/R56</f>
        <v>106956.71705157065</v>
      </c>
      <c r="T57" s="59">
        <f>+S57/$T$4</f>
        <v>89382.790778298004</v>
      </c>
      <c r="U57" s="38">
        <f t="shared" si="33"/>
        <v>88.47527989958472</v>
      </c>
      <c r="V57" s="38">
        <f t="shared" si="34"/>
        <v>99.378662904076648</v>
      </c>
      <c r="W57" s="491">
        <v>159921581452</v>
      </c>
      <c r="X57" s="491">
        <v>151321342327</v>
      </c>
      <c r="Y57" s="495">
        <f>+X57/X56</f>
        <v>102494.49996240818</v>
      </c>
      <c r="Z57" s="493">
        <f>+Y57/$Z$4</f>
        <v>85321.545446950113</v>
      </c>
      <c r="AA57" s="40">
        <f t="shared" si="35"/>
        <v>94.622214808711519</v>
      </c>
      <c r="AB57" s="40">
        <f t="shared" si="36"/>
        <v>99.995438011615903</v>
      </c>
      <c r="AC57" s="80">
        <v>156883310044</v>
      </c>
      <c r="AD57" s="80">
        <v>160205095929</v>
      </c>
      <c r="AE57" s="38">
        <f>+AD57/AD56</f>
        <v>108614.43436459526</v>
      </c>
      <c r="AF57" s="59">
        <f>+AE57/$AF$4</f>
        <v>90636.462819852371</v>
      </c>
      <c r="AG57" s="40">
        <f t="shared" si="16"/>
        <v>102.11736091243127</v>
      </c>
      <c r="AH57" s="40">
        <f t="shared" si="37"/>
        <v>105.87078693949366</v>
      </c>
    </row>
    <row r="58" spans="1:34" ht="16.5" customHeight="1" x14ac:dyDescent="0.2">
      <c r="A58" s="1400" t="s">
        <v>37</v>
      </c>
      <c r="B58" s="7" t="s">
        <v>38</v>
      </c>
      <c r="C58" s="7" t="s">
        <v>6</v>
      </c>
      <c r="D58" s="36">
        <v>71768649</v>
      </c>
      <c r="E58" s="36">
        <v>81452143</v>
      </c>
      <c r="F58" s="38">
        <f t="shared" ref="F58:F60" si="38">E58/D58*100</f>
        <v>113.49265192382261</v>
      </c>
      <c r="G58" s="36">
        <v>88967594</v>
      </c>
      <c r="H58" s="36">
        <v>81907743</v>
      </c>
      <c r="I58" s="38">
        <f t="shared" ref="I58:I60" si="39">H58/G58*100</f>
        <v>92.064693803004275</v>
      </c>
      <c r="J58" s="38">
        <f t="shared" ref="J58:J60" si="40">H58/E58*100</f>
        <v>100.55934685475371</v>
      </c>
      <c r="K58" s="36">
        <v>77772315</v>
      </c>
      <c r="L58" s="36">
        <v>61226518</v>
      </c>
      <c r="M58" s="36"/>
      <c r="N58" s="36"/>
      <c r="O58" s="38">
        <f t="shared" si="31"/>
        <v>78.725338187502842</v>
      </c>
      <c r="P58" s="38">
        <f t="shared" si="32"/>
        <v>74.750586156427232</v>
      </c>
      <c r="Q58" s="36">
        <v>74213388</v>
      </c>
      <c r="R58" s="36">
        <v>65078842</v>
      </c>
      <c r="S58" s="36"/>
      <c r="T58" s="59"/>
      <c r="U58" s="38">
        <f t="shared" si="33"/>
        <v>87.691511941214699</v>
      </c>
      <c r="V58" s="38">
        <f t="shared" si="34"/>
        <v>106.29192076544349</v>
      </c>
      <c r="W58" s="491">
        <v>82112176</v>
      </c>
      <c r="X58" s="491">
        <v>75350206</v>
      </c>
      <c r="Y58" s="492"/>
      <c r="Z58" s="493"/>
      <c r="AA58" s="40">
        <f t="shared" si="35"/>
        <v>91.764960655774118</v>
      </c>
      <c r="AB58" s="40">
        <f t="shared" si="36"/>
        <v>115.782954466215</v>
      </c>
      <c r="AC58" s="80">
        <v>84293274</v>
      </c>
      <c r="AD58" s="80">
        <v>81330305</v>
      </c>
      <c r="AE58" s="36"/>
      <c r="AF58" s="59"/>
      <c r="AG58" s="40">
        <f t="shared" si="16"/>
        <v>96.484928322988139</v>
      </c>
      <c r="AH58" s="40">
        <f t="shared" si="37"/>
        <v>107.9364069688144</v>
      </c>
    </row>
    <row r="59" spans="1:34" ht="16.5" customHeight="1" x14ac:dyDescent="0.2">
      <c r="A59" s="1400"/>
      <c r="B59" s="7" t="s">
        <v>39</v>
      </c>
      <c r="C59" s="7" t="s">
        <v>6</v>
      </c>
      <c r="D59" s="36">
        <v>8502851</v>
      </c>
      <c r="E59" s="36">
        <v>8615498</v>
      </c>
      <c r="F59" s="38">
        <f t="shared" si="38"/>
        <v>101.32481446517174</v>
      </c>
      <c r="G59" s="36">
        <v>8767677</v>
      </c>
      <c r="H59" s="36">
        <v>8865476</v>
      </c>
      <c r="I59" s="38">
        <f t="shared" si="39"/>
        <v>101.11544939440628</v>
      </c>
      <c r="J59" s="38">
        <f t="shared" si="40"/>
        <v>102.90149217143339</v>
      </c>
      <c r="K59" s="36">
        <v>8874278</v>
      </c>
      <c r="L59" s="36">
        <v>6826681</v>
      </c>
      <c r="M59" s="36"/>
      <c r="N59" s="36"/>
      <c r="O59" s="38">
        <f t="shared" si="31"/>
        <v>76.926607437810716</v>
      </c>
      <c r="P59" s="38">
        <f t="shared" si="32"/>
        <v>77.002983257751751</v>
      </c>
      <c r="Q59" s="36">
        <v>8619298</v>
      </c>
      <c r="R59" s="36">
        <v>7461965</v>
      </c>
      <c r="S59" s="52">
        <f>+R59/$Q$4</f>
        <v>5.1290751000402882E-2</v>
      </c>
      <c r="T59" s="59"/>
      <c r="U59" s="38">
        <f t="shared" si="33"/>
        <v>86.572769615344541</v>
      </c>
      <c r="V59" s="38">
        <f t="shared" si="34"/>
        <v>109.30589842999841</v>
      </c>
      <c r="W59" s="491">
        <v>9581757</v>
      </c>
      <c r="X59" s="491">
        <v>8780696</v>
      </c>
      <c r="Y59" s="494">
        <f>+X59/$W$4</f>
        <v>6.0529169127910676E-2</v>
      </c>
      <c r="Z59" s="493"/>
      <c r="AA59" s="40">
        <f t="shared" si="35"/>
        <v>91.639727452908687</v>
      </c>
      <c r="AB59" s="40">
        <f t="shared" si="36"/>
        <v>117.67270417376656</v>
      </c>
      <c r="AC59" s="80">
        <v>9964415</v>
      </c>
      <c r="AD59" s="80">
        <v>9515965</v>
      </c>
      <c r="AE59" s="52">
        <f>+ROUND(AD59/$AC$4,5)</f>
        <v>6.6009999999999999E-2</v>
      </c>
      <c r="AF59" s="59"/>
      <c r="AG59" s="40">
        <f t="shared" si="16"/>
        <v>95.49948491707741</v>
      </c>
      <c r="AH59" s="40">
        <f t="shared" si="37"/>
        <v>108.3736983947514</v>
      </c>
    </row>
    <row r="60" spans="1:34" ht="16.5" customHeight="1" x14ac:dyDescent="0.2">
      <c r="A60" s="1400"/>
      <c r="B60" s="7"/>
      <c r="C60" s="7" t="s">
        <v>3</v>
      </c>
      <c r="D60" s="36">
        <v>149947014752</v>
      </c>
      <c r="E60" s="36">
        <v>131518001279</v>
      </c>
      <c r="F60" s="38">
        <f t="shared" si="38"/>
        <v>87.709649636253133</v>
      </c>
      <c r="G60" s="36">
        <v>201955897758</v>
      </c>
      <c r="H60" s="36">
        <v>184036660282</v>
      </c>
      <c r="I60" s="38">
        <f t="shared" si="39"/>
        <v>91.127153168127677</v>
      </c>
      <c r="J60" s="38">
        <f t="shared" si="40"/>
        <v>139.93267727022999</v>
      </c>
      <c r="K60" s="36">
        <v>220187293147</v>
      </c>
      <c r="L60" s="36">
        <v>207652287163</v>
      </c>
      <c r="M60" s="36"/>
      <c r="N60" s="36"/>
      <c r="O60" s="38">
        <f t="shared" si="31"/>
        <v>94.30711654389998</v>
      </c>
      <c r="P60" s="38">
        <f t="shared" si="32"/>
        <v>112.83202316582668</v>
      </c>
      <c r="Q60" s="36">
        <v>238522827191</v>
      </c>
      <c r="R60" s="36">
        <v>224212373097</v>
      </c>
      <c r="S60" s="38">
        <f>+R60/R59</f>
        <v>30047.363274553016</v>
      </c>
      <c r="T60" s="59">
        <f>+S60/$T$4</f>
        <v>25110.318071130885</v>
      </c>
      <c r="U60" s="38">
        <f t="shared" si="33"/>
        <v>94.000383836411288</v>
      </c>
      <c r="V60" s="38">
        <f t="shared" si="34"/>
        <v>107.97491140610501</v>
      </c>
      <c r="W60" s="491">
        <v>289673819593</v>
      </c>
      <c r="X60" s="491">
        <v>262132755833</v>
      </c>
      <c r="Y60" s="495">
        <f>+X60/X59</f>
        <v>29853.300448278816</v>
      </c>
      <c r="Z60" s="493">
        <f>+Y60/$Z$4</f>
        <v>24851.379653283697</v>
      </c>
      <c r="AA60" s="40">
        <f t="shared" si="35"/>
        <v>90.492387679806214</v>
      </c>
      <c r="AB60" s="40">
        <f t="shared" si="36"/>
        <v>116.91270745330129</v>
      </c>
      <c r="AC60" s="80">
        <v>324798041023</v>
      </c>
      <c r="AD60" s="80">
        <v>290703274636</v>
      </c>
      <c r="AE60" s="38">
        <f>+AD60/AD59</f>
        <v>30549.006289535533</v>
      </c>
      <c r="AF60" s="59">
        <f>+AE60/$AF$4</f>
        <v>25492.503726074541</v>
      </c>
      <c r="AG60" s="40">
        <f t="shared" si="16"/>
        <v>89.50277954891186</v>
      </c>
      <c r="AH60" s="40">
        <f t="shared" si="37"/>
        <v>110.89925549831008</v>
      </c>
    </row>
    <row r="61" spans="1:34" ht="16.5" customHeight="1" x14ac:dyDescent="0.2">
      <c r="A61" s="1399" t="s">
        <v>36</v>
      </c>
      <c r="B61" s="7" t="s">
        <v>38</v>
      </c>
      <c r="C61" s="7" t="s">
        <v>6</v>
      </c>
      <c r="D61" s="7"/>
      <c r="E61" s="7"/>
      <c r="F61" s="39"/>
      <c r="G61" s="36">
        <v>6040395</v>
      </c>
      <c r="H61" s="36">
        <v>6538370</v>
      </c>
      <c r="I61" s="38"/>
      <c r="J61" s="38"/>
      <c r="K61" s="36">
        <v>6956485</v>
      </c>
      <c r="L61" s="36">
        <v>7997182</v>
      </c>
      <c r="M61" s="36"/>
      <c r="N61" s="36"/>
      <c r="O61" s="38">
        <f t="shared" si="31"/>
        <v>114.9600983830196</v>
      </c>
      <c r="P61" s="38">
        <f t="shared" si="32"/>
        <v>122.31155471470719</v>
      </c>
      <c r="Q61" s="36">
        <v>7380633</v>
      </c>
      <c r="R61" s="36">
        <v>9237116</v>
      </c>
      <c r="S61" s="36"/>
      <c r="T61" s="59"/>
      <c r="U61" s="38">
        <f t="shared" si="33"/>
        <v>125.1534387362168</v>
      </c>
      <c r="V61" s="38">
        <f t="shared" si="34"/>
        <v>115.50463650821001</v>
      </c>
      <c r="W61" s="491">
        <v>9852879</v>
      </c>
      <c r="X61" s="491">
        <v>11281276</v>
      </c>
      <c r="Y61" s="492"/>
      <c r="Z61" s="493"/>
      <c r="AA61" s="40">
        <f t="shared" si="35"/>
        <v>114.49725506626034</v>
      </c>
      <c r="AB61" s="40">
        <f t="shared" si="36"/>
        <v>122.12985091883657</v>
      </c>
      <c r="AC61" s="80">
        <v>11718165</v>
      </c>
      <c r="AD61" s="80">
        <v>12963605</v>
      </c>
      <c r="AE61" s="36"/>
      <c r="AF61" s="59"/>
      <c r="AG61" s="40">
        <f t="shared" si="16"/>
        <v>110.6282852306654</v>
      </c>
      <c r="AH61" s="40">
        <f t="shared" si="37"/>
        <v>114.91257726519588</v>
      </c>
    </row>
    <row r="62" spans="1:34" ht="16.5" customHeight="1" x14ac:dyDescent="0.2">
      <c r="A62" s="1399"/>
      <c r="B62" s="7" t="s">
        <v>39</v>
      </c>
      <c r="C62" s="7" t="s">
        <v>6</v>
      </c>
      <c r="D62" s="7"/>
      <c r="E62" s="7"/>
      <c r="F62" s="39"/>
      <c r="G62" s="36">
        <v>929963</v>
      </c>
      <c r="H62" s="36">
        <v>1054548</v>
      </c>
      <c r="I62" s="38"/>
      <c r="J62" s="38"/>
      <c r="K62" s="36">
        <v>1079758</v>
      </c>
      <c r="L62" s="36">
        <v>1304652</v>
      </c>
      <c r="M62" s="52">
        <f>+L62/$K$4</f>
        <v>8.93042668543346E-3</v>
      </c>
      <c r="N62" s="52"/>
      <c r="O62" s="38">
        <f t="shared" si="31"/>
        <v>120.82818557491586</v>
      </c>
      <c r="P62" s="38">
        <f t="shared" si="32"/>
        <v>123.71670137347945</v>
      </c>
      <c r="Q62" s="36">
        <v>1209425</v>
      </c>
      <c r="R62" s="36">
        <v>1526631</v>
      </c>
      <c r="S62" s="52">
        <f>+R62/$Q$4</f>
        <v>1.049348938121474E-2</v>
      </c>
      <c r="T62" s="59"/>
      <c r="U62" s="38">
        <f t="shared" si="33"/>
        <v>126.22783554168305</v>
      </c>
      <c r="V62" s="38">
        <f t="shared" si="34"/>
        <v>117.01442223673439</v>
      </c>
      <c r="W62" s="491">
        <v>1517250</v>
      </c>
      <c r="X62" s="491">
        <v>1781655</v>
      </c>
      <c r="Y62" s="494">
        <f>+X62/$W$4</f>
        <v>1.2281725369217622E-2</v>
      </c>
      <c r="Z62" s="493"/>
      <c r="AA62" s="40">
        <f t="shared" si="35"/>
        <v>117.42659416707859</v>
      </c>
      <c r="AB62" s="40">
        <f t="shared" si="36"/>
        <v>116.70501909105737</v>
      </c>
      <c r="AC62" s="80">
        <v>1811730</v>
      </c>
      <c r="AD62" s="80">
        <v>1951450</v>
      </c>
      <c r="AE62" s="52">
        <f>+ROUND(AD62/$AC$4,5)</f>
        <v>1.354E-2</v>
      </c>
      <c r="AF62" s="59"/>
      <c r="AG62" s="40">
        <f t="shared" si="16"/>
        <v>107.71196591103531</v>
      </c>
      <c r="AH62" s="40">
        <f t="shared" si="37"/>
        <v>109.5301840143013</v>
      </c>
    </row>
    <row r="63" spans="1:34" ht="15.75" customHeight="1" x14ac:dyDescent="0.2">
      <c r="A63" s="1399"/>
      <c r="B63" s="7"/>
      <c r="C63" s="7" t="s">
        <v>3</v>
      </c>
      <c r="D63" s="7"/>
      <c r="E63" s="7"/>
      <c r="F63" s="39"/>
      <c r="G63" s="36">
        <v>78156159859</v>
      </c>
      <c r="H63" s="36">
        <v>62509818737</v>
      </c>
      <c r="I63" s="38"/>
      <c r="J63" s="38"/>
      <c r="K63" s="36">
        <v>99269662149</v>
      </c>
      <c r="L63" s="36">
        <v>98846324423</v>
      </c>
      <c r="M63" s="38">
        <f>+L63/L62</f>
        <v>75764.513773021463</v>
      </c>
      <c r="N63" s="38"/>
      <c r="O63" s="38">
        <f t="shared" si="31"/>
        <v>99.573547731667915</v>
      </c>
      <c r="P63" s="38">
        <f t="shared" si="32"/>
        <v>158.12927700027416</v>
      </c>
      <c r="Q63" s="36">
        <v>114091376004</v>
      </c>
      <c r="R63" s="36">
        <v>112031629143</v>
      </c>
      <c r="S63" s="38">
        <f>+R63/R62</f>
        <v>73384.877644303037</v>
      </c>
      <c r="T63" s="59">
        <f>+S63/$T$4</f>
        <v>61327.098901222431</v>
      </c>
      <c r="U63" s="38">
        <f t="shared" si="33"/>
        <v>98.194651573903542</v>
      </c>
      <c r="V63" s="38">
        <f t="shared" si="34"/>
        <v>113.33919576369395</v>
      </c>
      <c r="W63" s="491">
        <v>144986222147</v>
      </c>
      <c r="X63" s="491">
        <v>136531142124</v>
      </c>
      <c r="Y63" s="495">
        <f>+X63/X62</f>
        <v>76631.638630374568</v>
      </c>
      <c r="Z63" s="493">
        <f>+Y63/$Z$4</f>
        <v>63792.006795231151</v>
      </c>
      <c r="AA63" s="40">
        <f t="shared" si="35"/>
        <v>94.168356208062661</v>
      </c>
      <c r="AB63" s="40">
        <f t="shared" si="36"/>
        <v>121.86838946145129</v>
      </c>
      <c r="AC63" s="80">
        <v>167137161139</v>
      </c>
      <c r="AD63" s="80">
        <v>150794923334</v>
      </c>
      <c r="AE63" s="38">
        <f>+AD63/AD62</f>
        <v>77273.270303620389</v>
      </c>
      <c r="AF63" s="59">
        <f>+AE63/$AF$4</f>
        <v>64482.920081619399</v>
      </c>
      <c r="AG63" s="40">
        <f t="shared" si="16"/>
        <v>90.22225955399054</v>
      </c>
      <c r="AH63" s="40">
        <f t="shared" si="37"/>
        <v>110.44727304562163</v>
      </c>
    </row>
    <row r="64" spans="1:34" ht="15.75" customHeight="1" x14ac:dyDescent="0.2">
      <c r="A64" s="1401" t="s">
        <v>40</v>
      </c>
      <c r="B64" s="7" t="s">
        <v>41</v>
      </c>
      <c r="C64" s="7" t="s">
        <v>6</v>
      </c>
      <c r="D64" s="7"/>
      <c r="E64" s="7"/>
      <c r="F64" s="39"/>
      <c r="G64" s="36">
        <v>78535</v>
      </c>
      <c r="H64" s="36">
        <v>87279</v>
      </c>
      <c r="I64" s="38"/>
      <c r="J64" s="38"/>
      <c r="K64" s="36">
        <v>77550</v>
      </c>
      <c r="L64" s="36">
        <v>83994</v>
      </c>
      <c r="M64" s="36"/>
      <c r="N64" s="36"/>
      <c r="O64" s="38">
        <f t="shared" si="31"/>
        <v>108.30947775628627</v>
      </c>
      <c r="P64" s="38">
        <f t="shared" si="32"/>
        <v>96.236208022548368</v>
      </c>
      <c r="Q64" s="36">
        <v>73630</v>
      </c>
      <c r="R64" s="36">
        <v>83161</v>
      </c>
      <c r="S64" s="52">
        <f>+R64/$Q$4</f>
        <v>5.7161754898937529E-4</v>
      </c>
      <c r="T64" s="59"/>
      <c r="U64" s="38">
        <f t="shared" si="33"/>
        <v>112.94445198967813</v>
      </c>
      <c r="V64" s="38">
        <f t="shared" si="34"/>
        <v>99.008262494940112</v>
      </c>
      <c r="W64" s="491">
        <v>76604</v>
      </c>
      <c r="X64" s="491">
        <v>87215</v>
      </c>
      <c r="Y64" s="494">
        <f>+X64/$W$4</f>
        <v>6.0121105268770602E-4</v>
      </c>
      <c r="Z64" s="493"/>
      <c r="AA64" s="40">
        <f t="shared" si="35"/>
        <v>113.85175708840269</v>
      </c>
      <c r="AB64" s="40">
        <f t="shared" si="36"/>
        <v>104.87488125443416</v>
      </c>
      <c r="AC64" s="80">
        <v>87998</v>
      </c>
      <c r="AD64" s="80">
        <v>94066</v>
      </c>
      <c r="AE64" s="52">
        <f>+ROUND(AD64/$AC$4,5)</f>
        <v>6.4999999999999997E-4</v>
      </c>
      <c r="AF64" s="59"/>
      <c r="AG64" s="40">
        <f t="shared" si="16"/>
        <v>106.89561126389235</v>
      </c>
      <c r="AH64" s="40">
        <f t="shared" si="37"/>
        <v>107.85530012039213</v>
      </c>
    </row>
    <row r="65" spans="1:34" ht="15.75" customHeight="1" x14ac:dyDescent="0.2">
      <c r="A65" s="1401"/>
      <c r="B65" s="7"/>
      <c r="C65" s="7" t="s">
        <v>3</v>
      </c>
      <c r="D65" s="7"/>
      <c r="E65" s="7"/>
      <c r="F65" s="39"/>
      <c r="G65" s="36">
        <v>10010276412</v>
      </c>
      <c r="H65" s="36">
        <v>9545818023</v>
      </c>
      <c r="I65" s="38"/>
      <c r="J65" s="38"/>
      <c r="K65" s="36">
        <v>10215829066</v>
      </c>
      <c r="L65" s="36">
        <v>8547964421</v>
      </c>
      <c r="M65" s="36"/>
      <c r="N65" s="36"/>
      <c r="O65" s="38">
        <f t="shared" si="31"/>
        <v>83.673722081441881</v>
      </c>
      <c r="P65" s="38">
        <f t="shared" si="32"/>
        <v>89.546693645366588</v>
      </c>
      <c r="Q65" s="36">
        <v>10077541902</v>
      </c>
      <c r="R65" s="36">
        <v>9139978107</v>
      </c>
      <c r="S65" s="38">
        <f>+R65/R64</f>
        <v>109907.02501172424</v>
      </c>
      <c r="T65" s="59">
        <f>+S65/$T$4</f>
        <v>91848.337276016377</v>
      </c>
      <c r="U65" s="38">
        <f t="shared" si="33"/>
        <v>90.69650313422234</v>
      </c>
      <c r="V65" s="38">
        <f t="shared" si="34"/>
        <v>106.92578556533981</v>
      </c>
      <c r="W65" s="491">
        <v>10282321900</v>
      </c>
      <c r="X65" s="491">
        <v>9177363263</v>
      </c>
      <c r="Y65" s="495">
        <f>+X65/X64</f>
        <v>105226.89059221464</v>
      </c>
      <c r="Z65" s="493">
        <f>+Y65/$Z$4</f>
        <v>87596.123998827126</v>
      </c>
      <c r="AA65" s="40">
        <f t="shared" si="35"/>
        <v>89.253802324550833</v>
      </c>
      <c r="AB65" s="40">
        <f t="shared" si="36"/>
        <v>100.4090289447342</v>
      </c>
      <c r="AC65" s="80">
        <v>11890439676</v>
      </c>
      <c r="AD65" s="80">
        <v>10479312872</v>
      </c>
      <c r="AE65" s="38">
        <f>+AD65/AD64</f>
        <v>111403.83211787468</v>
      </c>
      <c r="AF65" s="59">
        <f>+AE65/$AF$4</f>
        <v>92964.15662255841</v>
      </c>
      <c r="AG65" s="40">
        <f t="shared" si="16"/>
        <v>88.13225715405413</v>
      </c>
      <c r="AH65" s="40">
        <f t="shared" si="37"/>
        <v>114.18653235890768</v>
      </c>
    </row>
    <row r="66" spans="1:34" ht="15.75" customHeight="1" x14ac:dyDescent="0.2">
      <c r="A66" s="1400" t="s">
        <v>42</v>
      </c>
      <c r="B66" s="7" t="s">
        <v>32</v>
      </c>
      <c r="C66" s="7" t="s">
        <v>6</v>
      </c>
      <c r="D66" s="7"/>
      <c r="E66" s="7"/>
      <c r="F66" s="39"/>
      <c r="G66" s="7"/>
      <c r="H66" s="7"/>
      <c r="I66" s="39"/>
      <c r="J66" s="39"/>
      <c r="K66" s="36">
        <v>0</v>
      </c>
      <c r="L66" s="36">
        <v>0</v>
      </c>
      <c r="M66" s="36"/>
      <c r="N66" s="36"/>
      <c r="O66" s="38"/>
      <c r="P66" s="38"/>
      <c r="Q66" s="36">
        <v>0</v>
      </c>
      <c r="R66" s="36">
        <v>0</v>
      </c>
      <c r="S66" s="36"/>
      <c r="T66" s="59"/>
      <c r="U66" s="38"/>
      <c r="V66" s="38"/>
      <c r="W66" s="491">
        <v>90861</v>
      </c>
      <c r="X66" s="491">
        <v>0</v>
      </c>
      <c r="Y66" s="492"/>
      <c r="Z66" s="493"/>
      <c r="AA66" s="40"/>
      <c r="AB66" s="40"/>
      <c r="AC66" s="80">
        <v>0</v>
      </c>
      <c r="AD66" s="80">
        <v>0</v>
      </c>
      <c r="AE66" s="36"/>
      <c r="AF66" s="59"/>
      <c r="AG66" s="40"/>
      <c r="AH66" s="40"/>
    </row>
    <row r="67" spans="1:34" ht="15.75" customHeight="1" x14ac:dyDescent="0.2">
      <c r="A67" s="1400"/>
      <c r="B67" s="7" t="s">
        <v>33</v>
      </c>
      <c r="C67" s="7" t="s">
        <v>6</v>
      </c>
      <c r="D67" s="7"/>
      <c r="E67" s="7"/>
      <c r="F67" s="39"/>
      <c r="G67" s="7"/>
      <c r="H67" s="7"/>
      <c r="I67" s="39"/>
      <c r="J67" s="39"/>
      <c r="K67" s="36">
        <v>0</v>
      </c>
      <c r="L67" s="36">
        <v>0</v>
      </c>
      <c r="M67" s="36"/>
      <c r="N67" s="36"/>
      <c r="O67" s="38"/>
      <c r="P67" s="38"/>
      <c r="Q67" s="36">
        <v>0</v>
      </c>
      <c r="R67" s="36">
        <v>0</v>
      </c>
      <c r="S67" s="36"/>
      <c r="T67" s="59"/>
      <c r="U67" s="38"/>
      <c r="V67" s="38"/>
      <c r="W67" s="491">
        <v>0</v>
      </c>
      <c r="X67" s="491">
        <v>0</v>
      </c>
      <c r="Y67" s="492"/>
      <c r="Z67" s="493"/>
      <c r="AA67" s="40"/>
      <c r="AB67" s="40"/>
      <c r="AC67" s="80">
        <v>0</v>
      </c>
      <c r="AD67" s="80">
        <v>0</v>
      </c>
      <c r="AE67" s="36"/>
      <c r="AF67" s="59"/>
      <c r="AG67" s="40"/>
      <c r="AH67" s="40"/>
    </row>
    <row r="68" spans="1:34" ht="51" customHeight="1" x14ac:dyDescent="0.2">
      <c r="A68" s="1400"/>
      <c r="B68" s="7"/>
      <c r="C68" s="7" t="s">
        <v>3</v>
      </c>
      <c r="D68" s="7"/>
      <c r="E68" s="7"/>
      <c r="F68" s="39"/>
      <c r="G68" s="7"/>
      <c r="H68" s="7"/>
      <c r="I68" s="39"/>
      <c r="J68" s="39"/>
      <c r="K68" s="36">
        <v>0</v>
      </c>
      <c r="L68" s="36">
        <v>0</v>
      </c>
      <c r="M68" s="36"/>
      <c r="N68" s="36"/>
      <c r="O68" s="38"/>
      <c r="P68" s="38"/>
      <c r="Q68" s="36">
        <v>0</v>
      </c>
      <c r="R68" s="36">
        <v>0</v>
      </c>
      <c r="S68" s="36"/>
      <c r="T68" s="59"/>
      <c r="U68" s="38"/>
      <c r="V68" s="38"/>
      <c r="W68" s="491">
        <v>0</v>
      </c>
      <c r="X68" s="491">
        <v>0</v>
      </c>
      <c r="Y68" s="492"/>
      <c r="Z68" s="493"/>
      <c r="AA68" s="40"/>
      <c r="AB68" s="40"/>
      <c r="AC68" s="80">
        <v>0</v>
      </c>
      <c r="AD68" s="80">
        <v>0</v>
      </c>
      <c r="AE68" s="36"/>
      <c r="AF68" s="59"/>
      <c r="AG68" s="40"/>
      <c r="AH68" s="40"/>
    </row>
    <row r="69" spans="1:34" ht="51" customHeight="1" x14ac:dyDescent="0.2">
      <c r="A69" s="6" t="s">
        <v>43</v>
      </c>
      <c r="B69" s="7"/>
      <c r="C69" s="7" t="s">
        <v>3</v>
      </c>
      <c r="D69" s="36">
        <v>5997300</v>
      </c>
      <c r="E69" s="36">
        <v>4343696</v>
      </c>
      <c r="F69" s="38">
        <f t="shared" ref="F69" si="41">E69/D69*100</f>
        <v>72.427525719907294</v>
      </c>
      <c r="G69" s="36">
        <v>6410173</v>
      </c>
      <c r="H69" s="36">
        <v>13235043</v>
      </c>
      <c r="I69" s="38">
        <f t="shared" ref="I69" si="42">H69/G69*100</f>
        <v>206.46935737927822</v>
      </c>
      <c r="J69" s="38">
        <f t="shared" ref="J69" si="43">H69/E69*100</f>
        <v>304.69542527838047</v>
      </c>
      <c r="K69" s="36">
        <v>9963665</v>
      </c>
      <c r="L69" s="36">
        <v>56506289</v>
      </c>
      <c r="M69" s="36"/>
      <c r="N69" s="36"/>
      <c r="O69" s="38">
        <f t="shared" ref="O69" si="44">L69/K69*100</f>
        <v>567.12353335845796</v>
      </c>
      <c r="P69" s="38">
        <f t="shared" ref="P69" si="45">L69/H69*100</f>
        <v>426.9445063382114</v>
      </c>
      <c r="Q69" s="36">
        <v>36267800</v>
      </c>
      <c r="R69" s="36">
        <v>286746795</v>
      </c>
      <c r="S69" s="36"/>
      <c r="T69" s="59"/>
      <c r="U69" s="38">
        <f t="shared" ref="U69" si="46">R69/Q69*100</f>
        <v>790.63741114707818</v>
      </c>
      <c r="V69" s="38">
        <f t="shared" ref="V69" si="47">R69/L69*100</f>
        <v>507.45996609333173</v>
      </c>
      <c r="W69" s="491">
        <v>92166400</v>
      </c>
      <c r="X69" s="491">
        <v>47898884</v>
      </c>
      <c r="Y69" s="492"/>
      <c r="Z69" s="493"/>
      <c r="AA69" s="40">
        <f t="shared" ref="AA69" si="48">X69/W69*100</f>
        <v>51.97000642316506</v>
      </c>
      <c r="AB69" s="40">
        <f t="shared" ref="AB69" si="49">X69/R69*100</f>
        <v>16.704243895733864</v>
      </c>
      <c r="AC69" s="80">
        <v>72369300</v>
      </c>
      <c r="AD69" s="80">
        <v>82914368</v>
      </c>
      <c r="AE69" s="36"/>
      <c r="AF69" s="59"/>
      <c r="AG69" s="40">
        <f t="shared" ref="AG69" si="50">AD69/AC69*100</f>
        <v>114.57118971718671</v>
      </c>
      <c r="AH69" s="40">
        <f t="shared" ref="AH69" si="51">AD69/X69*100</f>
        <v>173.10292239794148</v>
      </c>
    </row>
    <row r="70" spans="1:34" ht="51" customHeight="1" x14ac:dyDescent="0.25">
      <c r="A70" s="3" t="s">
        <v>44</v>
      </c>
      <c r="B70" s="7"/>
      <c r="C70" s="7" t="s">
        <v>3</v>
      </c>
      <c r="D70" s="7"/>
      <c r="E70" s="7"/>
      <c r="F70" s="7"/>
      <c r="G70" s="7"/>
      <c r="H70" s="7"/>
      <c r="I70" s="39"/>
      <c r="J70" s="39"/>
      <c r="K70" s="36">
        <v>0</v>
      </c>
      <c r="L70" s="36">
        <v>0</v>
      </c>
      <c r="M70" s="36"/>
      <c r="N70" s="36"/>
      <c r="O70" s="38"/>
      <c r="P70" s="38"/>
      <c r="Q70" s="36">
        <v>0</v>
      </c>
      <c r="R70" s="36">
        <v>0</v>
      </c>
      <c r="S70" s="36"/>
      <c r="T70" s="59"/>
      <c r="U70" s="38"/>
      <c r="V70" s="38"/>
      <c r="W70" s="491">
        <v>0</v>
      </c>
      <c r="X70" s="491">
        <v>0</v>
      </c>
      <c r="Y70" s="492"/>
      <c r="Z70" s="493"/>
      <c r="AA70" s="37"/>
      <c r="AB70" s="37"/>
      <c r="AC70" s="80">
        <v>0</v>
      </c>
      <c r="AD70" s="80">
        <v>5574254</v>
      </c>
      <c r="AE70" s="36"/>
      <c r="AF70" s="59"/>
      <c r="AG70" s="37"/>
      <c r="AH70" s="37"/>
    </row>
    <row r="71" spans="1:34" x14ac:dyDescent="0.2">
      <c r="A71" s="1402" t="s">
        <v>45</v>
      </c>
      <c r="B71" s="1402"/>
      <c r="C71" s="1402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60"/>
      <c r="U71" s="29"/>
      <c r="V71" s="29"/>
    </row>
    <row r="72" spans="1:34" x14ac:dyDescent="0.2">
      <c r="A72" s="8"/>
      <c r="B72" s="9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61"/>
      <c r="U72" s="8"/>
      <c r="V72" s="8"/>
      <c r="X72" s="1040"/>
      <c r="AD72" s="1041">
        <f>AD59-AD62-AD64</f>
        <v>7470449</v>
      </c>
    </row>
    <row r="73" spans="1:34" x14ac:dyDescent="0.2">
      <c r="A73" s="10" t="s">
        <v>46</v>
      </c>
      <c r="B73" s="10"/>
      <c r="C73" s="11" t="s">
        <v>47</v>
      </c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62"/>
      <c r="U73" s="32"/>
      <c r="V73" s="32"/>
    </row>
    <row r="74" spans="1:34" ht="38.25" x14ac:dyDescent="0.2">
      <c r="A74" s="8"/>
      <c r="B74" s="9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61"/>
      <c r="U74" s="8"/>
      <c r="V74" s="8"/>
      <c r="AB74" s="2" t="s">
        <v>926</v>
      </c>
      <c r="AC74" s="2">
        <v>317386</v>
      </c>
    </row>
    <row r="75" spans="1:34" x14ac:dyDescent="0.2">
      <c r="A75" s="12" t="s">
        <v>48</v>
      </c>
      <c r="B75" s="12"/>
      <c r="C75" s="14" t="s">
        <v>49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63"/>
      <c r="U75" s="33"/>
      <c r="V75" s="33"/>
    </row>
    <row r="76" spans="1:34" x14ac:dyDescent="0.2">
      <c r="A76" s="8" t="s">
        <v>50</v>
      </c>
      <c r="B76" s="8"/>
      <c r="C76" s="14" t="s">
        <v>51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63"/>
      <c r="U76" s="33"/>
      <c r="V76" s="33"/>
    </row>
    <row r="77" spans="1:34" x14ac:dyDescent="0.2">
      <c r="A77" s="16" t="s">
        <v>52</v>
      </c>
      <c r="B77" s="14" t="s">
        <v>53</v>
      </c>
      <c r="C77" s="30" t="s">
        <v>54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64"/>
      <c r="U77" s="30"/>
      <c r="V77" s="30"/>
    </row>
    <row r="78" spans="1:34" x14ac:dyDescent="0.2">
      <c r="A78" s="17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65"/>
      <c r="U78" s="19"/>
      <c r="V78" s="19"/>
    </row>
    <row r="79" spans="1:34" x14ac:dyDescent="0.2">
      <c r="A79" s="20" t="s">
        <v>55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66"/>
      <c r="U79" s="20"/>
      <c r="V79" s="20"/>
    </row>
    <row r="80" spans="1:34" x14ac:dyDescent="0.2">
      <c r="A80" s="19" t="s">
        <v>56</v>
      </c>
      <c r="B80" s="19"/>
      <c r="C80" s="21" t="s">
        <v>57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65"/>
      <c r="U80" s="34"/>
      <c r="V80" s="34"/>
    </row>
    <row r="81" spans="1:29" x14ac:dyDescent="0.2">
      <c r="A81" s="8"/>
      <c r="B81" s="8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67"/>
      <c r="U81" s="13"/>
      <c r="V81" s="13"/>
    </row>
    <row r="82" spans="1:29" x14ac:dyDescent="0.2">
      <c r="A82" s="1403" t="s">
        <v>58</v>
      </c>
      <c r="B82" s="1403"/>
      <c r="C82" s="140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66"/>
      <c r="U82" s="20"/>
      <c r="V82" s="20"/>
    </row>
    <row r="83" spans="1:29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68"/>
      <c r="U83" s="22"/>
      <c r="V83" s="22"/>
    </row>
    <row r="84" spans="1:29" x14ac:dyDescent="0.2">
      <c r="A84" s="1397" t="s">
        <v>59</v>
      </c>
      <c r="B84" s="1397"/>
      <c r="C84" s="139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69"/>
      <c r="U84" s="23"/>
      <c r="V84" s="23"/>
    </row>
    <row r="85" spans="1:29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69"/>
      <c r="U85" s="23"/>
      <c r="V85" s="23"/>
    </row>
    <row r="86" spans="1:29" ht="13.15" customHeight="1" x14ac:dyDescent="0.2">
      <c r="A86" s="1397" t="s">
        <v>60</v>
      </c>
      <c r="B86" s="1397"/>
      <c r="C86" s="139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69"/>
      <c r="U86" s="23"/>
      <c r="V86" s="23"/>
    </row>
    <row r="87" spans="1:29" x14ac:dyDescent="0.2">
      <c r="A87" s="2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67"/>
      <c r="U87" s="13"/>
      <c r="V87" s="13"/>
    </row>
    <row r="88" spans="1:29" ht="13.15" customHeight="1" x14ac:dyDescent="0.2">
      <c r="A88" s="25" t="s">
        <v>61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70"/>
      <c r="U88" s="25"/>
      <c r="V88" s="25"/>
    </row>
    <row r="89" spans="1:29" x14ac:dyDescent="0.2">
      <c r="A89" s="16" t="s">
        <v>62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71"/>
      <c r="U89" s="16"/>
      <c r="V89" s="16"/>
      <c r="W89" s="499" t="s">
        <v>63</v>
      </c>
      <c r="AC89" s="16" t="s">
        <v>63</v>
      </c>
    </row>
    <row r="90" spans="1:29" x14ac:dyDescent="0.2">
      <c r="A90" s="24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67"/>
      <c r="U90" s="13"/>
      <c r="V90" s="13"/>
    </row>
    <row r="91" spans="1:29" ht="13.15" customHeight="1" x14ac:dyDescent="0.2">
      <c r="A91" s="20" t="s">
        <v>64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66"/>
      <c r="U91" s="20"/>
      <c r="V91" s="20"/>
      <c r="W91" s="500" t="s">
        <v>65</v>
      </c>
      <c r="AC91" s="31" t="s">
        <v>65</v>
      </c>
    </row>
    <row r="92" spans="1:29" ht="13.15" customHeight="1" x14ac:dyDescent="0.2">
      <c r="A92" s="17" t="s">
        <v>66</v>
      </c>
      <c r="B92" s="26" t="s">
        <v>67</v>
      </c>
      <c r="C92" s="30" t="s">
        <v>68</v>
      </c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64"/>
      <c r="U92" s="30"/>
      <c r="V92" s="30"/>
    </row>
    <row r="93" spans="1:29" x14ac:dyDescent="0.2">
      <c r="A93" s="2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67"/>
      <c r="U93" s="13"/>
      <c r="V93" s="13"/>
    </row>
    <row r="94" spans="1:29" ht="13.15" customHeight="1" x14ac:dyDescent="0.2">
      <c r="A94" s="20" t="s">
        <v>69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66"/>
      <c r="U94" s="20"/>
      <c r="V94" s="20"/>
    </row>
    <row r="95" spans="1:29" ht="15" customHeight="1" x14ac:dyDescent="0.2">
      <c r="A95" s="27" t="s">
        <v>70</v>
      </c>
      <c r="B95" s="1398" t="s">
        <v>71</v>
      </c>
      <c r="C95" s="1398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64"/>
      <c r="U95" s="30"/>
      <c r="V95" s="30"/>
    </row>
    <row r="96" spans="1:29" x14ac:dyDescent="0.2">
      <c r="A96" s="24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67"/>
      <c r="U96" s="13"/>
      <c r="V96" s="13"/>
    </row>
    <row r="97" spans="1:22" ht="13.15" customHeight="1" x14ac:dyDescent="0.2">
      <c r="A97" s="20" t="s">
        <v>72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66"/>
      <c r="U97" s="20"/>
      <c r="V97" s="20"/>
    </row>
    <row r="98" spans="1:22" ht="13.15" customHeight="1" x14ac:dyDescent="0.2">
      <c r="A98" s="16" t="s">
        <v>73</v>
      </c>
      <c r="B98" s="15" t="s">
        <v>74</v>
      </c>
      <c r="C98" s="2" t="s">
        <v>75</v>
      </c>
    </row>
    <row r="99" spans="1:22" ht="14.25" customHeight="1" x14ac:dyDescent="0.2">
      <c r="A99" s="16" t="s">
        <v>76</v>
      </c>
      <c r="B99" s="15" t="s">
        <v>77</v>
      </c>
      <c r="C99" s="30" t="s">
        <v>78</v>
      </c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64"/>
      <c r="U99" s="30"/>
      <c r="V99" s="30"/>
    </row>
  </sheetData>
  <sheetProtection selectLockedCells="1" selectUnlockedCells="1"/>
  <mergeCells count="40">
    <mergeCell ref="AC3:AH3"/>
    <mergeCell ref="G3:J3"/>
    <mergeCell ref="W3:AB3"/>
    <mergeCell ref="K3:P3"/>
    <mergeCell ref="Q3:V3"/>
    <mergeCell ref="A1:X1"/>
    <mergeCell ref="B3:B5"/>
    <mergeCell ref="C3:C5"/>
    <mergeCell ref="D3:F3"/>
    <mergeCell ref="A26:A27"/>
    <mergeCell ref="A8:A10"/>
    <mergeCell ref="A12:A13"/>
    <mergeCell ref="A14:A15"/>
    <mergeCell ref="A16:A17"/>
    <mergeCell ref="A18:A19"/>
    <mergeCell ref="A20:A21"/>
    <mergeCell ref="A22:A23"/>
    <mergeCell ref="A24:A25"/>
    <mergeCell ref="A52:A54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8"/>
    <mergeCell ref="A49:A51"/>
    <mergeCell ref="A86:C86"/>
    <mergeCell ref="B95:C95"/>
    <mergeCell ref="A84:C84"/>
    <mergeCell ref="A55:A57"/>
    <mergeCell ref="A58:A60"/>
    <mergeCell ref="A61:A63"/>
    <mergeCell ref="A64:A65"/>
    <mergeCell ref="A66:A68"/>
    <mergeCell ref="A71:C71"/>
    <mergeCell ref="A82:C82"/>
  </mergeCells>
  <pageMargins left="0.7" right="0.7" top="0.75" bottom="0.75" header="0.51" footer="0.51"/>
  <pageSetup paperSize="9" scale="27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9A6CE-84E5-42F3-BD25-723EACD0D1DA}">
  <dimension ref="A1:B6"/>
  <sheetViews>
    <sheetView workbookViewId="0">
      <selection activeCell="G13" sqref="G13"/>
    </sheetView>
  </sheetViews>
  <sheetFormatPr defaultRowHeight="12.75" x14ac:dyDescent="0.2"/>
  <cols>
    <col min="1" max="1" width="24.85546875" customWidth="1"/>
  </cols>
  <sheetData>
    <row r="1" spans="1:2" x14ac:dyDescent="0.2">
      <c r="A1" s="182">
        <f>+'[2]СВОД и Численность'!$BC$19</f>
        <v>176195848.30000001</v>
      </c>
      <c r="B1" t="s">
        <v>921</v>
      </c>
    </row>
    <row r="2" spans="1:2" x14ac:dyDescent="0.2">
      <c r="A2" s="182" t="e">
        <f>+#REF!</f>
        <v>#REF!</v>
      </c>
      <c r="B2" t="s">
        <v>922</v>
      </c>
    </row>
    <row r="4" spans="1:2" x14ac:dyDescent="0.2">
      <c r="A4" s="182" t="e">
        <f>+A1-A2</f>
        <v>#REF!</v>
      </c>
      <c r="B4" t="s">
        <v>923</v>
      </c>
    </row>
    <row r="5" spans="1:2" x14ac:dyDescent="0.2">
      <c r="A5" s="82" t="e">
        <f>#REF!</f>
        <v>#REF!</v>
      </c>
      <c r="B5" t="s">
        <v>924</v>
      </c>
    </row>
    <row r="6" spans="1:2" x14ac:dyDescent="0.2">
      <c r="A6" t="e">
        <f>+ROUND(A4/A5*1000,1)</f>
        <v>#REF!</v>
      </c>
      <c r="B6" t="s">
        <v>925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6832-1BD9-4DED-959E-9CDECE721EC1}">
  <dimension ref="A1:G5"/>
  <sheetViews>
    <sheetView workbookViewId="0">
      <selection activeCell="F5" sqref="F5"/>
    </sheetView>
  </sheetViews>
  <sheetFormatPr defaultRowHeight="12.75" x14ac:dyDescent="0.2"/>
  <cols>
    <col min="1" max="7" width="18.7109375" customWidth="1"/>
  </cols>
  <sheetData>
    <row r="1" spans="1:7" ht="18" x14ac:dyDescent="0.25">
      <c r="A1" s="1559" t="s">
        <v>526</v>
      </c>
      <c r="B1" s="1559"/>
      <c r="C1" s="1559"/>
      <c r="D1" s="1559"/>
      <c r="E1" s="1559"/>
      <c r="F1" s="1559"/>
      <c r="G1" s="1559"/>
    </row>
    <row r="2" spans="1:7" ht="18" x14ac:dyDescent="0.25">
      <c r="A2" s="482"/>
      <c r="B2" s="482"/>
      <c r="C2" s="482"/>
      <c r="D2" s="482"/>
      <c r="E2" s="482"/>
      <c r="F2" s="482"/>
      <c r="G2" s="482"/>
    </row>
    <row r="3" spans="1:7" ht="38.25" customHeight="1" x14ac:dyDescent="0.2">
      <c r="A3" s="1560" t="s">
        <v>485</v>
      </c>
      <c r="B3" s="1561" t="s">
        <v>522</v>
      </c>
      <c r="C3" s="1561"/>
      <c r="D3" s="1561" t="s">
        <v>523</v>
      </c>
      <c r="E3" s="1561"/>
      <c r="F3" s="1561" t="s">
        <v>524</v>
      </c>
      <c r="G3" s="1561" t="s">
        <v>525</v>
      </c>
    </row>
    <row r="4" spans="1:7" ht="52.5" customHeight="1" x14ac:dyDescent="0.2">
      <c r="A4" s="1560"/>
      <c r="B4" s="479" t="s">
        <v>527</v>
      </c>
      <c r="C4" s="480" t="s">
        <v>528</v>
      </c>
      <c r="D4" s="479" t="s">
        <v>529</v>
      </c>
      <c r="E4" s="479" t="s">
        <v>530</v>
      </c>
      <c r="F4" s="1561"/>
      <c r="G4" s="1561"/>
    </row>
    <row r="5" spans="1:7" ht="33" customHeight="1" x14ac:dyDescent="0.25">
      <c r="A5" s="481">
        <v>3288.9</v>
      </c>
      <c r="B5" s="481">
        <f>A5*0.795</f>
        <v>2614.6755000000003</v>
      </c>
      <c r="C5" s="481">
        <f>A5-B5</f>
        <v>674.22449999999981</v>
      </c>
      <c r="D5" s="481">
        <f>B5/100*109.8</f>
        <v>2870.9136990000002</v>
      </c>
      <c r="E5" s="481">
        <f>C5/100*104.5</f>
        <v>704.56460249999975</v>
      </c>
      <c r="F5" s="481">
        <f>D5+E5</f>
        <v>3575.4783014999998</v>
      </c>
      <c r="G5" s="481">
        <v>3657.2568000000006</v>
      </c>
    </row>
  </sheetData>
  <mergeCells count="6">
    <mergeCell ref="A1:G1"/>
    <mergeCell ref="A3:A4"/>
    <mergeCell ref="B3:C3"/>
    <mergeCell ref="D3:E3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2D817-926C-4B81-8AC3-9C529EFCDE07}">
  <dimension ref="A2:E17"/>
  <sheetViews>
    <sheetView workbookViewId="0">
      <selection activeCell="R68" sqref="R68"/>
    </sheetView>
  </sheetViews>
  <sheetFormatPr defaultColWidth="9.140625" defaultRowHeight="15" x14ac:dyDescent="0.25"/>
  <cols>
    <col min="1" max="1" width="35.42578125" style="244" customWidth="1"/>
    <col min="2" max="2" width="34.5703125" style="244" customWidth="1"/>
    <col min="3" max="3" width="16.140625" style="244" bestFit="1" customWidth="1"/>
    <col min="4" max="5" width="17.7109375" style="244" bestFit="1" customWidth="1"/>
    <col min="6" max="16384" width="9.140625" style="244"/>
  </cols>
  <sheetData>
    <row r="2" spans="1:5" ht="18.75" x14ac:dyDescent="0.3">
      <c r="A2" s="1562" t="s">
        <v>493</v>
      </c>
      <c r="B2" s="1562"/>
      <c r="C2" s="1562"/>
      <c r="D2" s="1562"/>
      <c r="E2" s="1562"/>
    </row>
    <row r="4" spans="1:5" x14ac:dyDescent="0.25">
      <c r="E4" s="462" t="s">
        <v>498</v>
      </c>
    </row>
    <row r="5" spans="1:5" ht="18.75" x14ac:dyDescent="0.25">
      <c r="A5" s="1563" t="s">
        <v>487</v>
      </c>
      <c r="B5" s="1565" t="s">
        <v>503</v>
      </c>
      <c r="C5" s="1567" t="s">
        <v>499</v>
      </c>
      <c r="D5" s="1567"/>
      <c r="E5" s="1567"/>
    </row>
    <row r="6" spans="1:5" ht="60" customHeight="1" x14ac:dyDescent="0.25">
      <c r="A6" s="1564"/>
      <c r="B6" s="1566"/>
      <c r="C6" s="463" t="s">
        <v>279</v>
      </c>
      <c r="D6" s="463" t="s">
        <v>277</v>
      </c>
      <c r="E6" s="463" t="s">
        <v>500</v>
      </c>
    </row>
    <row r="7" spans="1:5" ht="18.75" x14ac:dyDescent="0.25">
      <c r="A7" s="464" t="s">
        <v>501</v>
      </c>
      <c r="B7" s="466" t="e">
        <f>Прирост!O9</f>
        <v>#REF!</v>
      </c>
      <c r="C7" s="466" t="e">
        <f>Прирост!O31</f>
        <v>#REF!</v>
      </c>
      <c r="D7" s="466" t="e">
        <f>Прирост!O52</f>
        <v>#REF!</v>
      </c>
      <c r="E7" s="466" t="e">
        <f t="shared" ref="E7:E9" si="0">SUM(C7:D7)</f>
        <v>#REF!</v>
      </c>
    </row>
    <row r="8" spans="1:5" ht="18.75" x14ac:dyDescent="0.25">
      <c r="A8" s="464" t="s">
        <v>502</v>
      </c>
      <c r="B8" s="466" t="e">
        <f>Прирост!Q9</f>
        <v>#REF!</v>
      </c>
      <c r="C8" s="466" t="e">
        <f>Прирост!Q31</f>
        <v>#REF!</v>
      </c>
      <c r="D8" s="466" t="e">
        <f>Прирост!Q52</f>
        <v>#REF!</v>
      </c>
      <c r="E8" s="466" t="e">
        <f t="shared" si="0"/>
        <v>#REF!</v>
      </c>
    </row>
    <row r="9" spans="1:5" ht="18.75" x14ac:dyDescent="0.25">
      <c r="A9" s="464" t="s">
        <v>490</v>
      </c>
      <c r="B9" s="466" t="e">
        <f>Прирост!R9</f>
        <v>#REF!</v>
      </c>
      <c r="C9" s="466" t="e">
        <f>Прирост!R31</f>
        <v>#REF!</v>
      </c>
      <c r="D9" s="466" t="e">
        <f>Прирост!R52</f>
        <v>#REF!</v>
      </c>
      <c r="E9" s="466" t="e">
        <f t="shared" si="0"/>
        <v>#REF!</v>
      </c>
    </row>
    <row r="10" spans="1:5" ht="18.75" x14ac:dyDescent="0.25">
      <c r="A10" s="464"/>
      <c r="B10" s="466" t="e">
        <f>SUM(B7:B9)</f>
        <v>#REF!</v>
      </c>
      <c r="C10" s="466" t="e">
        <f>SUM(C7:C9)</f>
        <v>#REF!</v>
      </c>
      <c r="D10" s="466" t="e">
        <f>SUM(D7:D9)</f>
        <v>#REF!</v>
      </c>
      <c r="E10" s="466" t="e">
        <f>SUM(E7:E9)</f>
        <v>#REF!</v>
      </c>
    </row>
    <row r="11" spans="1:5" x14ac:dyDescent="0.25">
      <c r="A11" s="465"/>
      <c r="B11" s="465"/>
      <c r="C11" s="465"/>
      <c r="D11" s="465"/>
      <c r="E11" s="465"/>
    </row>
    <row r="14" spans="1:5" x14ac:dyDescent="0.25">
      <c r="A14" s="1568" t="s">
        <v>289</v>
      </c>
      <c r="B14" s="1569"/>
      <c r="C14" s="1569"/>
      <c r="D14" s="1570"/>
    </row>
    <row r="15" spans="1:5" x14ac:dyDescent="0.25">
      <c r="A15" s="446"/>
      <c r="B15" s="447" t="s">
        <v>288</v>
      </c>
      <c r="C15" s="447" t="s">
        <v>277</v>
      </c>
      <c r="D15" s="447" t="s">
        <v>279</v>
      </c>
    </row>
    <row r="16" spans="1:5" x14ac:dyDescent="0.25">
      <c r="A16" s="446" t="s">
        <v>285</v>
      </c>
      <c r="B16" s="467">
        <v>0.77044225125373333</v>
      </c>
      <c r="C16" s="467">
        <v>0.59898572804081629</v>
      </c>
      <c r="D16" s="467">
        <v>0.34172296639108701</v>
      </c>
    </row>
    <row r="17" spans="1:4" x14ac:dyDescent="0.25">
      <c r="A17" s="446" t="s">
        <v>286</v>
      </c>
      <c r="B17" s="467">
        <v>0.22955774874626667</v>
      </c>
      <c r="C17" s="467">
        <v>0.40101427195918371</v>
      </c>
      <c r="D17" s="467">
        <v>0.65827703360891299</v>
      </c>
    </row>
  </sheetData>
  <mergeCells count="5">
    <mergeCell ref="A2:E2"/>
    <mergeCell ref="A5:A6"/>
    <mergeCell ref="B5:B6"/>
    <mergeCell ref="C5:E5"/>
    <mergeCell ref="A14:D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ABC4-612D-431E-9E50-445CD6A13D6E}">
  <dimension ref="A1:R81"/>
  <sheetViews>
    <sheetView zoomScale="60" zoomScaleNormal="60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O11" sqref="O11"/>
    </sheetView>
  </sheetViews>
  <sheetFormatPr defaultRowHeight="20.25" x14ac:dyDescent="0.2"/>
  <cols>
    <col min="1" max="1" width="76.5703125" customWidth="1"/>
    <col min="2" max="2" width="23.7109375" customWidth="1"/>
    <col min="3" max="3" width="19.140625" customWidth="1"/>
    <col min="4" max="4" width="19.85546875" customWidth="1"/>
    <col min="5" max="5" width="18.5703125" customWidth="1"/>
    <col min="6" max="6" width="15.7109375" customWidth="1"/>
    <col min="7" max="7" width="16.140625" customWidth="1"/>
    <col min="8" max="8" width="21.140625" customWidth="1"/>
    <col min="9" max="9" width="18" customWidth="1"/>
    <col min="10" max="10" width="16.140625" customWidth="1"/>
    <col min="11" max="11" width="25.5703125" style="420" customWidth="1"/>
    <col min="12" max="12" width="31" style="420" customWidth="1"/>
    <col min="13" max="13" width="28.140625" style="431" customWidth="1"/>
    <col min="14" max="14" width="19.42578125" style="432" hidden="1" customWidth="1"/>
    <col min="15" max="15" width="30.5703125" style="432" customWidth="1"/>
    <col min="16" max="16" width="24.42578125" style="433" hidden="1" customWidth="1"/>
    <col min="17" max="17" width="26.7109375" style="434" customWidth="1"/>
    <col min="18" max="18" width="30.28515625" style="434" customWidth="1"/>
  </cols>
  <sheetData>
    <row r="1" spans="1:18" ht="26.25" x14ac:dyDescent="0.4">
      <c r="A1" s="1580" t="s">
        <v>493</v>
      </c>
      <c r="B1" s="1580"/>
      <c r="C1" s="1580"/>
      <c r="D1" s="1580"/>
      <c r="E1" s="1580"/>
      <c r="F1" s="1580"/>
      <c r="G1" s="1580"/>
      <c r="H1" s="1580"/>
      <c r="I1" s="1580"/>
      <c r="J1" s="1580"/>
      <c r="K1" s="1580"/>
      <c r="L1" s="1580"/>
      <c r="M1" s="1580"/>
      <c r="N1" s="1580"/>
      <c r="O1" s="1580"/>
      <c r="P1" s="1580"/>
      <c r="Q1" s="1580"/>
      <c r="R1" s="1580"/>
    </row>
    <row r="2" spans="1:18" x14ac:dyDescent="0.2">
      <c r="R2" s="434" t="s">
        <v>491</v>
      </c>
    </row>
    <row r="3" spans="1:18" ht="18" x14ac:dyDescent="0.2">
      <c r="A3" s="1581" t="s">
        <v>83</v>
      </c>
      <c r="B3" s="1581" t="s">
        <v>84</v>
      </c>
      <c r="C3" s="1582" t="s">
        <v>375</v>
      </c>
      <c r="D3" s="1583"/>
      <c r="E3" s="1586" t="s">
        <v>494</v>
      </c>
      <c r="F3" s="1587"/>
      <c r="G3" s="1588"/>
      <c r="H3" s="1586" t="s">
        <v>379</v>
      </c>
      <c r="I3" s="1587"/>
      <c r="J3" s="1588"/>
      <c r="K3" s="1592" t="s">
        <v>427</v>
      </c>
      <c r="L3" s="1593"/>
      <c r="M3" s="1594"/>
      <c r="N3" s="442"/>
      <c r="O3" s="1571" t="s">
        <v>492</v>
      </c>
      <c r="P3" s="1572"/>
      <c r="Q3" s="1572"/>
      <c r="R3" s="1573"/>
    </row>
    <row r="4" spans="1:18" ht="20.25" customHeight="1" x14ac:dyDescent="0.2">
      <c r="A4" s="1581"/>
      <c r="B4" s="1581"/>
      <c r="C4" s="1584"/>
      <c r="D4" s="1585"/>
      <c r="E4" s="1589"/>
      <c r="F4" s="1590"/>
      <c r="G4" s="1591"/>
      <c r="H4" s="1589"/>
      <c r="I4" s="1590"/>
      <c r="J4" s="1591"/>
      <c r="K4" s="1595"/>
      <c r="L4" s="1596"/>
      <c r="M4" s="1597"/>
      <c r="N4" s="442"/>
      <c r="O4" s="1574"/>
      <c r="P4" s="1575"/>
      <c r="Q4" s="1575"/>
      <c r="R4" s="1576"/>
    </row>
    <row r="5" spans="1:18" ht="37.5" x14ac:dyDescent="0.2">
      <c r="A5" s="1581"/>
      <c r="B5" s="1581"/>
      <c r="C5" s="439" t="s">
        <v>372</v>
      </c>
      <c r="D5" s="418" t="s">
        <v>373</v>
      </c>
      <c r="E5" s="440" t="s">
        <v>372</v>
      </c>
      <c r="F5" s="445" t="s">
        <v>373</v>
      </c>
      <c r="G5" s="441" t="s">
        <v>376</v>
      </c>
      <c r="H5" s="441" t="s">
        <v>485</v>
      </c>
      <c r="I5" s="418" t="s">
        <v>486</v>
      </c>
      <c r="J5" s="418" t="s">
        <v>376</v>
      </c>
      <c r="K5" s="444" t="s">
        <v>375</v>
      </c>
      <c r="L5" s="418" t="s">
        <v>121</v>
      </c>
      <c r="M5" s="442" t="s">
        <v>487</v>
      </c>
      <c r="N5" s="443" t="s">
        <v>488</v>
      </c>
      <c r="O5" s="442" t="s">
        <v>495</v>
      </c>
      <c r="P5" s="442" t="s">
        <v>496</v>
      </c>
      <c r="Q5" s="442" t="s">
        <v>489</v>
      </c>
      <c r="R5" s="442" t="s">
        <v>490</v>
      </c>
    </row>
    <row r="6" spans="1:18" x14ac:dyDescent="0.2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139">
        <v>6</v>
      </c>
      <c r="G6" s="139">
        <v>7</v>
      </c>
      <c r="H6" s="139">
        <v>8</v>
      </c>
      <c r="I6" s="139">
        <v>9</v>
      </c>
      <c r="J6" s="139">
        <v>10</v>
      </c>
      <c r="K6" s="139">
        <v>11</v>
      </c>
      <c r="L6" s="139">
        <v>12</v>
      </c>
      <c r="M6" s="139">
        <v>13</v>
      </c>
      <c r="N6" s="139">
        <v>14</v>
      </c>
      <c r="O6" s="139">
        <v>14</v>
      </c>
      <c r="P6" s="139">
        <v>16</v>
      </c>
      <c r="Q6" s="139">
        <v>15</v>
      </c>
      <c r="R6" s="139">
        <v>16</v>
      </c>
    </row>
    <row r="7" spans="1:18" ht="40.5" hidden="1" x14ac:dyDescent="0.2">
      <c r="A7" s="251" t="s">
        <v>85</v>
      </c>
      <c r="B7" s="251" t="s">
        <v>5</v>
      </c>
      <c r="C7" s="421" t="e">
        <f>#REF!</f>
        <v>#REF!</v>
      </c>
      <c r="D7" s="252" t="e">
        <f>#REF!</f>
        <v>#REF!</v>
      </c>
      <c r="E7" s="421" t="e">
        <f>#REF!</f>
        <v>#REF!</v>
      </c>
      <c r="F7" s="422" t="e">
        <f>#REF!</f>
        <v>#REF!</v>
      </c>
      <c r="G7" s="160" t="e">
        <f>F7/D7</f>
        <v>#REF!</v>
      </c>
      <c r="H7" s="423" t="e">
        <f>#REF!</f>
        <v>#REF!</v>
      </c>
      <c r="I7" s="423" t="e">
        <f>#REF!</f>
        <v>#REF!</v>
      </c>
      <c r="J7" s="160" t="e">
        <f>I7/H7</f>
        <v>#REF!</v>
      </c>
      <c r="K7" s="421" t="e">
        <f>#REF!</f>
        <v>#REF!</v>
      </c>
      <c r="L7" s="421" t="e">
        <f>#REF!</f>
        <v>#REF!</v>
      </c>
      <c r="M7" s="435" t="e">
        <f>L7-K7</f>
        <v>#REF!</v>
      </c>
      <c r="N7" s="436" t="e">
        <f>F7-D7</f>
        <v>#REF!</v>
      </c>
      <c r="O7" s="436" t="e">
        <f>N7*I7*$D$76*$D$78*$A$81/1000</f>
        <v>#REF!</v>
      </c>
      <c r="P7" s="437" t="e">
        <f>I7-#REF!</f>
        <v>#REF!</v>
      </c>
      <c r="Q7" s="436" t="e">
        <f>P7*F7*$D$76*$D$78*$A$81/1000</f>
        <v>#REF!</v>
      </c>
      <c r="R7" s="436" t="e">
        <f>M7-O7-Q7</f>
        <v>#REF!</v>
      </c>
    </row>
    <row r="8" spans="1:18" x14ac:dyDescent="0.2">
      <c r="A8" s="251" t="s">
        <v>503</v>
      </c>
      <c r="B8" s="147" t="s">
        <v>125</v>
      </c>
      <c r="C8" s="421" t="e">
        <f>#REF!</f>
        <v>#REF!</v>
      </c>
      <c r="D8" s="252" t="e">
        <f>#REF!</f>
        <v>#REF!</v>
      </c>
      <c r="E8" s="421" t="e">
        <f>#REF!</f>
        <v>#REF!</v>
      </c>
      <c r="F8" s="422" t="e">
        <f>#REF!</f>
        <v>#REF!</v>
      </c>
      <c r="G8" s="422" t="e">
        <f>#REF!</f>
        <v>#REF!</v>
      </c>
      <c r="H8" s="423" t="e">
        <f>#REF!</f>
        <v>#REF!</v>
      </c>
      <c r="I8" s="423" t="e">
        <f>#REF!</f>
        <v>#REF!</v>
      </c>
      <c r="J8" s="421" t="e">
        <f>#REF!</f>
        <v>#REF!</v>
      </c>
      <c r="K8" s="421" t="e">
        <f>#REF!</f>
        <v>#REF!</v>
      </c>
      <c r="L8" s="421" t="e">
        <f>#REF!</f>
        <v>#REF!</v>
      </c>
      <c r="M8" s="438" t="e">
        <f>#REF!</f>
        <v>#REF!</v>
      </c>
      <c r="N8" s="438" t="e">
        <f>#REF!</f>
        <v>#REF!</v>
      </c>
      <c r="O8" s="438" t="e">
        <f>#REF!</f>
        <v>#REF!</v>
      </c>
      <c r="P8" s="438" t="e">
        <f>#REF!</f>
        <v>#REF!</v>
      </c>
      <c r="Q8" s="438" t="s">
        <v>358</v>
      </c>
      <c r="R8" s="438" t="e">
        <f>#REF!</f>
        <v>#REF!</v>
      </c>
    </row>
    <row r="9" spans="1:18" ht="30" customHeight="1" x14ac:dyDescent="0.2">
      <c r="A9" s="461" t="s">
        <v>504</v>
      </c>
      <c r="B9" s="453" t="s">
        <v>87</v>
      </c>
      <c r="C9" s="454" t="e">
        <f>#REF!</f>
        <v>#REF!</v>
      </c>
      <c r="D9" s="455" t="e">
        <f>#REF!</f>
        <v>#REF!</v>
      </c>
      <c r="E9" s="454" t="e">
        <f>#REF!</f>
        <v>#REF!</v>
      </c>
      <c r="F9" s="456" t="e">
        <f>#REF!</f>
        <v>#REF!</v>
      </c>
      <c r="G9" s="457" t="e">
        <f t="shared" ref="G9:G22" si="0">F9/D9</f>
        <v>#REF!</v>
      </c>
      <c r="H9" s="458" t="e">
        <f>#REF!</f>
        <v>#REF!</v>
      </c>
      <c r="I9" s="458" t="e">
        <f>#REF!</f>
        <v>#REF!</v>
      </c>
      <c r="J9" s="457" t="e">
        <f t="shared" ref="J9:J22" si="1">I9/H9</f>
        <v>#REF!</v>
      </c>
      <c r="K9" s="454" t="e">
        <f>#REF!+K28</f>
        <v>#REF!</v>
      </c>
      <c r="L9" s="454" t="e">
        <f>#REF!+L28</f>
        <v>#REF!</v>
      </c>
      <c r="M9" s="459" t="e">
        <f t="shared" ref="M9:M22" si="2">L9-K9</f>
        <v>#REF!</v>
      </c>
      <c r="N9" s="455" t="e">
        <f t="shared" ref="N9:N22" si="3">F9-D9</f>
        <v>#REF!</v>
      </c>
      <c r="O9" s="459" t="e">
        <f>+O10+O11+O13+O14+O15+O24+O28</f>
        <v>#REF!</v>
      </c>
      <c r="P9" s="459" t="e">
        <f t="shared" ref="P9:R9" si="4">+P10+P11+P13+P14+P15+P24+P28</f>
        <v>#REF!</v>
      </c>
      <c r="Q9" s="459" t="e">
        <f t="shared" si="4"/>
        <v>#REF!</v>
      </c>
      <c r="R9" s="459" t="e">
        <f t="shared" si="4"/>
        <v>#REF!</v>
      </c>
    </row>
    <row r="10" spans="1:18" ht="40.5" x14ac:dyDescent="0.2">
      <c r="A10" s="251" t="s">
        <v>505</v>
      </c>
      <c r="B10" s="147" t="s">
        <v>15</v>
      </c>
      <c r="C10" s="421" t="e">
        <f>#REF!</f>
        <v>#REF!</v>
      </c>
      <c r="D10" s="252" t="e">
        <f>#REF!</f>
        <v>#REF!</v>
      </c>
      <c r="E10" s="421" t="e">
        <f>#REF!</f>
        <v>#REF!</v>
      </c>
      <c r="F10" s="422" t="e">
        <f>#REF!</f>
        <v>#REF!</v>
      </c>
      <c r="G10" s="160" t="e">
        <f t="shared" si="0"/>
        <v>#REF!</v>
      </c>
      <c r="H10" s="423" t="e">
        <f>#REF!</f>
        <v>#REF!</v>
      </c>
      <c r="I10" s="423" t="e">
        <f>#REF!</f>
        <v>#REF!</v>
      </c>
      <c r="J10" s="160" t="e">
        <f t="shared" si="1"/>
        <v>#REF!</v>
      </c>
      <c r="K10" s="421" t="e">
        <f>#REF!</f>
        <v>#REF!</v>
      </c>
      <c r="L10" s="421" t="e">
        <f>#REF!</f>
        <v>#REF!</v>
      </c>
      <c r="M10" s="435" t="e">
        <f t="shared" si="2"/>
        <v>#REF!</v>
      </c>
      <c r="N10" s="252" t="e">
        <f t="shared" si="3"/>
        <v>#REF!</v>
      </c>
      <c r="O10" s="435" t="e">
        <f>N10*I10*$D$76*$D$78*$A$81/1000</f>
        <v>#REF!</v>
      </c>
      <c r="P10" s="448" t="e">
        <f>I10-#REF!</f>
        <v>#REF!</v>
      </c>
      <c r="Q10" s="435" t="e">
        <f>P10*F10*$D$76*$D$78*$A$81/1000</f>
        <v>#REF!</v>
      </c>
      <c r="R10" s="435" t="e">
        <f t="shared" ref="R10:R15" si="5">M10-O10-Q10</f>
        <v>#REF!</v>
      </c>
    </row>
    <row r="11" spans="1:18" ht="40.5" x14ac:dyDescent="0.2">
      <c r="A11" s="251" t="s">
        <v>506</v>
      </c>
      <c r="B11" s="147" t="s">
        <v>15</v>
      </c>
      <c r="C11" s="421" t="e">
        <f>#REF!</f>
        <v>#REF!</v>
      </c>
      <c r="D11" s="252" t="e">
        <f>#REF!</f>
        <v>#REF!</v>
      </c>
      <c r="E11" s="421" t="e">
        <f>#REF!</f>
        <v>#REF!</v>
      </c>
      <c r="F11" s="422" t="e">
        <f>#REF!</f>
        <v>#REF!</v>
      </c>
      <c r="G11" s="160" t="e">
        <f t="shared" si="0"/>
        <v>#REF!</v>
      </c>
      <c r="H11" s="423" t="e">
        <f>#REF!</f>
        <v>#REF!</v>
      </c>
      <c r="I11" s="423" t="e">
        <f>#REF!</f>
        <v>#REF!</v>
      </c>
      <c r="J11" s="160" t="e">
        <f t="shared" si="1"/>
        <v>#REF!</v>
      </c>
      <c r="K11" s="421" t="e">
        <f>#REF!</f>
        <v>#REF!</v>
      </c>
      <c r="L11" s="421" t="e">
        <f>#REF!</f>
        <v>#REF!</v>
      </c>
      <c r="M11" s="435" t="e">
        <f t="shared" si="2"/>
        <v>#REF!</v>
      </c>
      <c r="N11" s="252" t="e">
        <f t="shared" si="3"/>
        <v>#REF!</v>
      </c>
      <c r="O11" s="435" t="e">
        <f>N11*I11*$D$76*$D$78*$A$81/1000</f>
        <v>#REF!</v>
      </c>
      <c r="P11" s="448" t="e">
        <f>I11-#REF!</f>
        <v>#REF!</v>
      </c>
      <c r="Q11" s="435" t="e">
        <f>P11*F11*$D$76*$D$78*$A$81/1000</f>
        <v>#REF!</v>
      </c>
      <c r="R11" s="435" t="e">
        <f t="shared" si="5"/>
        <v>#REF!</v>
      </c>
    </row>
    <row r="12" spans="1:18" ht="40.5" x14ac:dyDescent="0.2">
      <c r="A12" s="217" t="s">
        <v>507</v>
      </c>
      <c r="B12" s="147" t="s">
        <v>15</v>
      </c>
      <c r="C12" s="421" t="e">
        <f>#REF!</f>
        <v>#REF!</v>
      </c>
      <c r="D12" s="252" t="e">
        <f>#REF!</f>
        <v>#REF!</v>
      </c>
      <c r="E12" s="421" t="e">
        <f>#REF!</f>
        <v>#REF!</v>
      </c>
      <c r="F12" s="422" t="e">
        <f>#REF!</f>
        <v>#REF!</v>
      </c>
      <c r="G12" s="160">
        <v>0</v>
      </c>
      <c r="H12" s="423" t="e">
        <f>#REF!</f>
        <v>#REF!</v>
      </c>
      <c r="I12" s="423" t="e">
        <f>#REF!</f>
        <v>#REF!</v>
      </c>
      <c r="J12" s="160" t="e">
        <f t="shared" si="1"/>
        <v>#REF!</v>
      </c>
      <c r="K12" s="421" t="e">
        <f>#REF!</f>
        <v>#REF!</v>
      </c>
      <c r="L12" s="421" t="e">
        <f>#REF!</f>
        <v>#REF!</v>
      </c>
      <c r="M12" s="435" t="e">
        <f t="shared" si="2"/>
        <v>#REF!</v>
      </c>
      <c r="N12" s="252" t="e">
        <f t="shared" si="3"/>
        <v>#REF!</v>
      </c>
      <c r="O12" s="436">
        <v>0</v>
      </c>
      <c r="P12" s="437" t="e">
        <f>I12-#REF!</f>
        <v>#REF!</v>
      </c>
      <c r="Q12" s="436">
        <v>0</v>
      </c>
      <c r="R12" s="436" t="e">
        <f t="shared" si="5"/>
        <v>#REF!</v>
      </c>
    </row>
    <row r="13" spans="1:18" x14ac:dyDescent="0.2">
      <c r="A13" s="251" t="s">
        <v>510</v>
      </c>
      <c r="B13" s="147" t="s">
        <v>11</v>
      </c>
      <c r="C13" s="421" t="e">
        <f>#REF!</f>
        <v>#REF!</v>
      </c>
      <c r="D13" s="252" t="e">
        <f>#REF!</f>
        <v>#REF!</v>
      </c>
      <c r="E13" s="421" t="e">
        <f>#REF!</f>
        <v>#REF!</v>
      </c>
      <c r="F13" s="422" t="e">
        <f>#REF!</f>
        <v>#REF!</v>
      </c>
      <c r="G13" s="160" t="e">
        <f t="shared" si="0"/>
        <v>#REF!</v>
      </c>
      <c r="H13" s="423" t="e">
        <f>#REF!</f>
        <v>#REF!</v>
      </c>
      <c r="I13" s="423" t="e">
        <f>#REF!</f>
        <v>#REF!</v>
      </c>
      <c r="J13" s="160" t="e">
        <f t="shared" si="1"/>
        <v>#REF!</v>
      </c>
      <c r="K13" s="421" t="e">
        <f>#REF!</f>
        <v>#REF!</v>
      </c>
      <c r="L13" s="421" t="e">
        <f>#REF!</f>
        <v>#REF!</v>
      </c>
      <c r="M13" s="435" t="e">
        <f t="shared" si="2"/>
        <v>#REF!</v>
      </c>
      <c r="N13" s="252" t="e">
        <f t="shared" si="3"/>
        <v>#REF!</v>
      </c>
      <c r="O13" s="435" t="e">
        <f>N13*I13*$D$76*$D$78*$A$81/1000</f>
        <v>#REF!</v>
      </c>
      <c r="P13" s="448" t="e">
        <f>I13-#REF!</f>
        <v>#REF!</v>
      </c>
      <c r="Q13" s="435">
        <v>0</v>
      </c>
      <c r="R13" s="435" t="e">
        <f t="shared" si="5"/>
        <v>#REF!</v>
      </c>
    </row>
    <row r="14" spans="1:18" x14ac:dyDescent="0.2">
      <c r="A14" s="251" t="s">
        <v>332</v>
      </c>
      <c r="B14" s="147" t="s">
        <v>11</v>
      </c>
      <c r="C14" s="421" t="e">
        <f>#REF!</f>
        <v>#REF!</v>
      </c>
      <c r="D14" s="252" t="e">
        <f>#REF!</f>
        <v>#REF!</v>
      </c>
      <c r="E14" s="421" t="e">
        <f>#REF!</f>
        <v>#REF!</v>
      </c>
      <c r="F14" s="422" t="e">
        <f>#REF!</f>
        <v>#REF!</v>
      </c>
      <c r="G14" s="160" t="e">
        <f t="shared" si="0"/>
        <v>#REF!</v>
      </c>
      <c r="H14" s="423" t="e">
        <f>#REF!</f>
        <v>#REF!</v>
      </c>
      <c r="I14" s="423" t="e">
        <f>#REF!</f>
        <v>#REF!</v>
      </c>
      <c r="J14" s="160" t="e">
        <f t="shared" si="1"/>
        <v>#REF!</v>
      </c>
      <c r="K14" s="421" t="e">
        <f>#REF!</f>
        <v>#REF!</v>
      </c>
      <c r="L14" s="421" t="e">
        <f>#REF!</f>
        <v>#REF!</v>
      </c>
      <c r="M14" s="435" t="e">
        <f t="shared" si="2"/>
        <v>#REF!</v>
      </c>
      <c r="N14" s="252" t="e">
        <f t="shared" si="3"/>
        <v>#REF!</v>
      </c>
      <c r="O14" s="435" t="e">
        <f>N14*I14*$D$76*$D$78*$A$81/1000</f>
        <v>#REF!</v>
      </c>
      <c r="P14" s="448" t="e">
        <f>I14-#REF!</f>
        <v>#REF!</v>
      </c>
      <c r="Q14" s="435">
        <v>0</v>
      </c>
      <c r="R14" s="435" t="e">
        <f t="shared" si="5"/>
        <v>#REF!</v>
      </c>
    </row>
    <row r="15" spans="1:18" ht="40.5" x14ac:dyDescent="0.2">
      <c r="A15" s="251" t="s">
        <v>508</v>
      </c>
      <c r="B15" s="147" t="s">
        <v>94</v>
      </c>
      <c r="C15" s="421" t="e">
        <f>#REF!</f>
        <v>#REF!</v>
      </c>
      <c r="D15" s="252" t="e">
        <f>#REF!</f>
        <v>#REF!</v>
      </c>
      <c r="E15" s="421" t="e">
        <f>#REF!</f>
        <v>#REF!</v>
      </c>
      <c r="F15" s="422" t="e">
        <f>#REF!</f>
        <v>#REF!</v>
      </c>
      <c r="G15" s="160" t="e">
        <f t="shared" si="0"/>
        <v>#REF!</v>
      </c>
      <c r="H15" s="423" t="e">
        <f>#REF!</f>
        <v>#REF!</v>
      </c>
      <c r="I15" s="423" t="e">
        <f>#REF!</f>
        <v>#REF!</v>
      </c>
      <c r="J15" s="160" t="e">
        <f t="shared" si="1"/>
        <v>#REF!</v>
      </c>
      <c r="K15" s="421" t="e">
        <f>#REF!</f>
        <v>#REF!</v>
      </c>
      <c r="L15" s="421" t="e">
        <f>#REF!</f>
        <v>#REF!</v>
      </c>
      <c r="M15" s="435" t="e">
        <f t="shared" si="2"/>
        <v>#REF!</v>
      </c>
      <c r="N15" s="252" t="e">
        <f t="shared" si="3"/>
        <v>#REF!</v>
      </c>
      <c r="O15" s="435" t="e">
        <f>N15*I15*$D$76*$D$78*$A$81/1000</f>
        <v>#REF!</v>
      </c>
      <c r="P15" s="448" t="e">
        <f>I15-#REF!</f>
        <v>#REF!</v>
      </c>
      <c r="Q15" s="435">
        <v>0</v>
      </c>
      <c r="R15" s="435" t="e">
        <f t="shared" si="5"/>
        <v>#REF!</v>
      </c>
    </row>
    <row r="16" spans="1:18" ht="40.5" x14ac:dyDescent="0.2">
      <c r="A16" s="147" t="s">
        <v>509</v>
      </c>
      <c r="B16" s="147" t="s">
        <v>23</v>
      </c>
      <c r="C16" s="421" t="s">
        <v>125</v>
      </c>
      <c r="D16" s="252" t="s">
        <v>125</v>
      </c>
      <c r="E16" s="421" t="s">
        <v>125</v>
      </c>
      <c r="F16" s="422" t="s">
        <v>125</v>
      </c>
      <c r="G16" s="160" t="s">
        <v>125</v>
      </c>
      <c r="H16" s="423" t="s">
        <v>125</v>
      </c>
      <c r="I16" s="423" t="s">
        <v>125</v>
      </c>
      <c r="J16" s="160" t="s">
        <v>125</v>
      </c>
      <c r="K16" s="160" t="s">
        <v>125</v>
      </c>
      <c r="L16" s="160" t="s">
        <v>125</v>
      </c>
      <c r="M16" s="438" t="s">
        <v>125</v>
      </c>
      <c r="N16" s="252" t="s">
        <v>125</v>
      </c>
      <c r="O16" s="438" t="s">
        <v>125</v>
      </c>
      <c r="P16" s="438" t="s">
        <v>125</v>
      </c>
      <c r="Q16" s="438" t="s">
        <v>125</v>
      </c>
      <c r="R16" s="438" t="s">
        <v>125</v>
      </c>
    </row>
    <row r="17" spans="1:18" x14ac:dyDescent="0.2">
      <c r="A17" s="147" t="s">
        <v>22</v>
      </c>
      <c r="B17" s="147" t="s">
        <v>23</v>
      </c>
      <c r="C17" s="421" t="e">
        <f>#REF!</f>
        <v>#REF!</v>
      </c>
      <c r="D17" s="252" t="e">
        <f>#REF!</f>
        <v>#REF!</v>
      </c>
      <c r="E17" s="421" t="e">
        <f>#REF!</f>
        <v>#REF!</v>
      </c>
      <c r="F17" s="422" t="e">
        <f>#REF!</f>
        <v>#REF!</v>
      </c>
      <c r="G17" s="160" t="e">
        <f t="shared" si="0"/>
        <v>#REF!</v>
      </c>
      <c r="H17" s="423" t="e">
        <f>#REF!</f>
        <v>#REF!</v>
      </c>
      <c r="I17" s="423" t="e">
        <f>#REF!</f>
        <v>#REF!</v>
      </c>
      <c r="J17" s="160" t="e">
        <f t="shared" si="1"/>
        <v>#REF!</v>
      </c>
      <c r="K17" s="421" t="e">
        <f>#REF!</f>
        <v>#REF!</v>
      </c>
      <c r="L17" s="421" t="e">
        <f>#REF!</f>
        <v>#REF!</v>
      </c>
      <c r="M17" s="435" t="e">
        <f t="shared" si="2"/>
        <v>#REF!</v>
      </c>
      <c r="N17" s="252" t="e">
        <f t="shared" si="3"/>
        <v>#REF!</v>
      </c>
      <c r="O17" s="436" t="e">
        <f t="shared" ref="O17:O24" si="6">N17*I17*$D$76*$D$78*$A$81/1000</f>
        <v>#REF!</v>
      </c>
      <c r="P17" s="437" t="e">
        <f>I17-#REF!</f>
        <v>#REF!</v>
      </c>
      <c r="Q17" s="436">
        <v>0</v>
      </c>
      <c r="R17" s="436" t="e">
        <f t="shared" ref="R17:R25" si="7">M17-O17-Q17</f>
        <v>#REF!</v>
      </c>
    </row>
    <row r="18" spans="1:18" x14ac:dyDescent="0.2">
      <c r="A18" s="147" t="s">
        <v>511</v>
      </c>
      <c r="B18" s="147" t="s">
        <v>23</v>
      </c>
      <c r="C18" s="421" t="e">
        <f>#REF!</f>
        <v>#REF!</v>
      </c>
      <c r="D18" s="252" t="e">
        <f>#REF!</f>
        <v>#REF!</v>
      </c>
      <c r="E18" s="421" t="e">
        <f>#REF!</f>
        <v>#REF!</v>
      </c>
      <c r="F18" s="422" t="e">
        <f>#REF!</f>
        <v>#REF!</v>
      </c>
      <c r="G18" s="160" t="e">
        <f t="shared" si="0"/>
        <v>#REF!</v>
      </c>
      <c r="H18" s="423" t="e">
        <f>#REF!</f>
        <v>#REF!</v>
      </c>
      <c r="I18" s="423" t="e">
        <f>#REF!</f>
        <v>#REF!</v>
      </c>
      <c r="J18" s="160" t="e">
        <f t="shared" si="1"/>
        <v>#REF!</v>
      </c>
      <c r="K18" s="421" t="e">
        <f>#REF!</f>
        <v>#REF!</v>
      </c>
      <c r="L18" s="421" t="e">
        <f>#REF!</f>
        <v>#REF!</v>
      </c>
      <c r="M18" s="435" t="e">
        <f t="shared" si="2"/>
        <v>#REF!</v>
      </c>
      <c r="N18" s="252" t="e">
        <f t="shared" si="3"/>
        <v>#REF!</v>
      </c>
      <c r="O18" s="436" t="e">
        <f t="shared" si="6"/>
        <v>#REF!</v>
      </c>
      <c r="P18" s="437" t="e">
        <f>I18-#REF!</f>
        <v>#REF!</v>
      </c>
      <c r="Q18" s="436">
        <v>0</v>
      </c>
      <c r="R18" s="436" t="e">
        <f t="shared" si="7"/>
        <v>#REF!</v>
      </c>
    </row>
    <row r="19" spans="1:18" ht="40.5" x14ac:dyDescent="0.2">
      <c r="A19" s="147" t="s">
        <v>25</v>
      </c>
      <c r="B19" s="147" t="s">
        <v>23</v>
      </c>
      <c r="C19" s="421" t="e">
        <f>#REF!</f>
        <v>#REF!</v>
      </c>
      <c r="D19" s="252" t="e">
        <f>#REF!</f>
        <v>#REF!</v>
      </c>
      <c r="E19" s="421" t="e">
        <f>#REF!</f>
        <v>#REF!</v>
      </c>
      <c r="F19" s="422" t="e">
        <f>#REF!</f>
        <v>#REF!</v>
      </c>
      <c r="G19" s="160" t="e">
        <f t="shared" si="0"/>
        <v>#REF!</v>
      </c>
      <c r="H19" s="423" t="e">
        <f>#REF!</f>
        <v>#REF!</v>
      </c>
      <c r="I19" s="423" t="e">
        <f>#REF!</f>
        <v>#REF!</v>
      </c>
      <c r="J19" s="160" t="e">
        <f t="shared" si="1"/>
        <v>#REF!</v>
      </c>
      <c r="K19" s="421" t="e">
        <f>#REF!</f>
        <v>#REF!</v>
      </c>
      <c r="L19" s="421" t="e">
        <f>#REF!</f>
        <v>#REF!</v>
      </c>
      <c r="M19" s="435" t="e">
        <f t="shared" si="2"/>
        <v>#REF!</v>
      </c>
      <c r="N19" s="252" t="e">
        <f t="shared" si="3"/>
        <v>#REF!</v>
      </c>
      <c r="O19" s="436" t="e">
        <f t="shared" si="6"/>
        <v>#REF!</v>
      </c>
      <c r="P19" s="437" t="e">
        <f>I19-#REF!</f>
        <v>#REF!</v>
      </c>
      <c r="Q19" s="436">
        <v>0</v>
      </c>
      <c r="R19" s="436" t="e">
        <f t="shared" si="7"/>
        <v>#REF!</v>
      </c>
    </row>
    <row r="20" spans="1:18" x14ac:dyDescent="0.2">
      <c r="A20" s="147" t="s">
        <v>397</v>
      </c>
      <c r="B20" s="147" t="s">
        <v>23</v>
      </c>
      <c r="C20" s="421" t="e">
        <f>#REF!</f>
        <v>#REF!</v>
      </c>
      <c r="D20" s="252" t="e">
        <f>#REF!</f>
        <v>#REF!</v>
      </c>
      <c r="E20" s="421" t="e">
        <f>#REF!</f>
        <v>#REF!</v>
      </c>
      <c r="F20" s="422" t="e">
        <f>#REF!</f>
        <v>#REF!</v>
      </c>
      <c r="G20" s="160" t="e">
        <f t="shared" si="0"/>
        <v>#REF!</v>
      </c>
      <c r="H20" s="423" t="e">
        <f>#REF!</f>
        <v>#REF!</v>
      </c>
      <c r="I20" s="423" t="e">
        <f>#REF!</f>
        <v>#REF!</v>
      </c>
      <c r="J20" s="160" t="e">
        <f t="shared" si="1"/>
        <v>#REF!</v>
      </c>
      <c r="K20" s="421" t="e">
        <f>#REF!</f>
        <v>#REF!</v>
      </c>
      <c r="L20" s="421" t="e">
        <f>#REF!</f>
        <v>#REF!</v>
      </c>
      <c r="M20" s="435" t="e">
        <f t="shared" si="2"/>
        <v>#REF!</v>
      </c>
      <c r="N20" s="252" t="e">
        <f t="shared" si="3"/>
        <v>#REF!</v>
      </c>
      <c r="O20" s="436" t="e">
        <f t="shared" si="6"/>
        <v>#REF!</v>
      </c>
      <c r="P20" s="437" t="e">
        <f>I20-#REF!</f>
        <v>#REF!</v>
      </c>
      <c r="Q20" s="436">
        <v>0</v>
      </c>
      <c r="R20" s="436" t="e">
        <f t="shared" si="7"/>
        <v>#REF!</v>
      </c>
    </row>
    <row r="21" spans="1:18" ht="40.5" x14ac:dyDescent="0.2">
      <c r="A21" s="147" t="s">
        <v>398</v>
      </c>
      <c r="B21" s="147" t="s">
        <v>23</v>
      </c>
      <c r="C21" s="421" t="e">
        <f>#REF!</f>
        <v>#REF!</v>
      </c>
      <c r="D21" s="252" t="e">
        <f>#REF!</f>
        <v>#REF!</v>
      </c>
      <c r="E21" s="421" t="e">
        <f>#REF!</f>
        <v>#REF!</v>
      </c>
      <c r="F21" s="422" t="e">
        <f>#REF!</f>
        <v>#REF!</v>
      </c>
      <c r="G21" s="160" t="e">
        <f t="shared" si="0"/>
        <v>#REF!</v>
      </c>
      <c r="H21" s="423" t="e">
        <f>#REF!</f>
        <v>#REF!</v>
      </c>
      <c r="I21" s="423" t="e">
        <f>#REF!</f>
        <v>#REF!</v>
      </c>
      <c r="J21" s="160" t="e">
        <f t="shared" si="1"/>
        <v>#REF!</v>
      </c>
      <c r="K21" s="421" t="e">
        <f>#REF!</f>
        <v>#REF!</v>
      </c>
      <c r="L21" s="421" t="e">
        <f>#REF!</f>
        <v>#REF!</v>
      </c>
      <c r="M21" s="435" t="e">
        <f t="shared" si="2"/>
        <v>#REF!</v>
      </c>
      <c r="N21" s="252" t="e">
        <f t="shared" si="3"/>
        <v>#REF!</v>
      </c>
      <c r="O21" s="436" t="e">
        <f t="shared" si="6"/>
        <v>#REF!</v>
      </c>
      <c r="P21" s="437" t="e">
        <f>I21-#REF!</f>
        <v>#REF!</v>
      </c>
      <c r="Q21" s="436">
        <v>0</v>
      </c>
      <c r="R21" s="436" t="e">
        <f t="shared" si="7"/>
        <v>#REF!</v>
      </c>
    </row>
    <row r="22" spans="1:18" ht="81" x14ac:dyDescent="0.2">
      <c r="A22" s="147" t="s">
        <v>399</v>
      </c>
      <c r="B22" s="147" t="s">
        <v>23</v>
      </c>
      <c r="C22" s="421" t="e">
        <f>#REF!</f>
        <v>#REF!</v>
      </c>
      <c r="D22" s="252" t="e">
        <f>#REF!</f>
        <v>#REF!</v>
      </c>
      <c r="E22" s="421" t="e">
        <f>#REF!</f>
        <v>#REF!</v>
      </c>
      <c r="F22" s="422" t="e">
        <f>#REF!</f>
        <v>#REF!</v>
      </c>
      <c r="G22" s="160" t="e">
        <f t="shared" si="0"/>
        <v>#REF!</v>
      </c>
      <c r="H22" s="423" t="e">
        <f>#REF!</f>
        <v>#REF!</v>
      </c>
      <c r="I22" s="423" t="e">
        <f>#REF!</f>
        <v>#REF!</v>
      </c>
      <c r="J22" s="160" t="e">
        <f t="shared" si="1"/>
        <v>#REF!</v>
      </c>
      <c r="K22" s="421" t="e">
        <f>#REF!</f>
        <v>#REF!</v>
      </c>
      <c r="L22" s="421" t="e">
        <f>#REF!</f>
        <v>#REF!</v>
      </c>
      <c r="M22" s="435" t="e">
        <f t="shared" si="2"/>
        <v>#REF!</v>
      </c>
      <c r="N22" s="252" t="e">
        <f t="shared" si="3"/>
        <v>#REF!</v>
      </c>
      <c r="O22" s="436" t="e">
        <f t="shared" si="6"/>
        <v>#REF!</v>
      </c>
      <c r="P22" s="437" t="e">
        <f>I22-#REF!</f>
        <v>#REF!</v>
      </c>
      <c r="Q22" s="436">
        <v>0</v>
      </c>
      <c r="R22" s="436" t="e">
        <f t="shared" si="7"/>
        <v>#REF!</v>
      </c>
    </row>
    <row r="23" spans="1:18" ht="40.5" x14ac:dyDescent="0.2">
      <c r="A23" s="217" t="s">
        <v>29</v>
      </c>
      <c r="B23" s="147" t="s">
        <v>23</v>
      </c>
      <c r="C23" s="421" t="e">
        <f>#REF!</f>
        <v>#REF!</v>
      </c>
      <c r="D23" s="252" t="e">
        <f>#REF!</f>
        <v>#REF!</v>
      </c>
      <c r="E23" s="421" t="e">
        <f>#REF!</f>
        <v>#REF!</v>
      </c>
      <c r="F23" s="422" t="e">
        <f>#REF!</f>
        <v>#REF!</v>
      </c>
      <c r="G23" s="160" t="e">
        <f t="shared" ref="G23:G73" si="8">F23/D23</f>
        <v>#REF!</v>
      </c>
      <c r="H23" s="423" t="e">
        <f>#REF!</f>
        <v>#REF!</v>
      </c>
      <c r="I23" s="423" t="e">
        <f>#REF!</f>
        <v>#REF!</v>
      </c>
      <c r="J23" s="160" t="e">
        <f t="shared" ref="J23:J73" si="9">I23/H23</f>
        <v>#REF!</v>
      </c>
      <c r="K23" s="421" t="e">
        <f>#REF!</f>
        <v>#REF!</v>
      </c>
      <c r="L23" s="421" t="e">
        <f>#REF!</f>
        <v>#REF!</v>
      </c>
      <c r="M23" s="435" t="e">
        <f t="shared" ref="M23:M73" si="10">L23-K23</f>
        <v>#REF!</v>
      </c>
      <c r="N23" s="252" t="e">
        <f>F23-D23</f>
        <v>#REF!</v>
      </c>
      <c r="O23" s="436" t="e">
        <f t="shared" si="6"/>
        <v>#REF!</v>
      </c>
      <c r="P23" s="437" t="e">
        <f>I23-#REF!</f>
        <v>#REF!</v>
      </c>
      <c r="Q23" s="436">
        <v>0</v>
      </c>
      <c r="R23" s="436" t="e">
        <f t="shared" si="7"/>
        <v>#REF!</v>
      </c>
    </row>
    <row r="24" spans="1:18" ht="40.5" x14ac:dyDescent="0.2">
      <c r="A24" s="253" t="s">
        <v>512</v>
      </c>
      <c r="B24" s="147" t="s">
        <v>15</v>
      </c>
      <c r="C24" s="421" t="e">
        <f>#REF!</f>
        <v>#REF!</v>
      </c>
      <c r="D24" s="252" t="e">
        <f>#REF!</f>
        <v>#REF!</v>
      </c>
      <c r="E24" s="421" t="e">
        <f>#REF!</f>
        <v>#REF!</v>
      </c>
      <c r="F24" s="422" t="e">
        <f>#REF!</f>
        <v>#REF!</v>
      </c>
      <c r="G24" s="160" t="e">
        <f t="shared" si="8"/>
        <v>#REF!</v>
      </c>
      <c r="H24" s="423" t="e">
        <f>#REF!</f>
        <v>#REF!</v>
      </c>
      <c r="I24" s="423" t="e">
        <f>#REF!</f>
        <v>#REF!</v>
      </c>
      <c r="J24" s="160" t="e">
        <f t="shared" si="9"/>
        <v>#REF!</v>
      </c>
      <c r="K24" s="421" t="e">
        <f>#REF!</f>
        <v>#REF!</v>
      </c>
      <c r="L24" s="421" t="e">
        <f>#REF!</f>
        <v>#REF!</v>
      </c>
      <c r="M24" s="435" t="e">
        <f t="shared" si="10"/>
        <v>#REF!</v>
      </c>
      <c r="N24" s="252" t="e">
        <f t="shared" ref="N24:N73" si="11">F24-D24</f>
        <v>#REF!</v>
      </c>
      <c r="O24" s="435" t="e">
        <f t="shared" si="6"/>
        <v>#REF!</v>
      </c>
      <c r="P24" s="448" t="e">
        <f>I24-#REF!</f>
        <v>#REF!</v>
      </c>
      <c r="Q24" s="435" t="e">
        <f>P24*F24*$D$76*$D$78*$A$81/1000</f>
        <v>#REF!</v>
      </c>
      <c r="R24" s="435" t="e">
        <f t="shared" si="7"/>
        <v>#REF!</v>
      </c>
    </row>
    <row r="25" spans="1:18" ht="40.5" x14ac:dyDescent="0.2">
      <c r="A25" s="217" t="s">
        <v>432</v>
      </c>
      <c r="B25" s="147" t="s">
        <v>15</v>
      </c>
      <c r="C25" s="421" t="e">
        <f>#REF!</f>
        <v>#REF!</v>
      </c>
      <c r="D25" s="252" t="e">
        <f>#REF!</f>
        <v>#REF!</v>
      </c>
      <c r="E25" s="421" t="e">
        <f>#REF!</f>
        <v>#REF!</v>
      </c>
      <c r="F25" s="422" t="e">
        <f>#REF!</f>
        <v>#REF!</v>
      </c>
      <c r="G25" s="160"/>
      <c r="H25" s="423" t="e">
        <f>#REF!</f>
        <v>#REF!</v>
      </c>
      <c r="I25" s="423" t="e">
        <f>#REF!</f>
        <v>#REF!</v>
      </c>
      <c r="J25" s="160"/>
      <c r="K25" s="421" t="e">
        <f>#REF!</f>
        <v>#REF!</v>
      </c>
      <c r="L25" s="421" t="e">
        <f>#REF!</f>
        <v>#REF!</v>
      </c>
      <c r="M25" s="435" t="e">
        <f t="shared" si="10"/>
        <v>#REF!</v>
      </c>
      <c r="N25" s="252" t="e">
        <f t="shared" si="11"/>
        <v>#REF!</v>
      </c>
      <c r="O25" s="436">
        <v>0</v>
      </c>
      <c r="P25" s="437" t="e">
        <f>I25-#REF!</f>
        <v>#REF!</v>
      </c>
      <c r="Q25" s="436" t="e">
        <f>P25*F25*$D$76*$D$78*$A$81/1000</f>
        <v>#REF!</v>
      </c>
      <c r="R25" s="436" t="e">
        <f t="shared" si="7"/>
        <v>#REF!</v>
      </c>
    </row>
    <row r="26" spans="1:18" ht="40.5" x14ac:dyDescent="0.2">
      <c r="A26" s="217" t="s">
        <v>513</v>
      </c>
      <c r="B26" s="147" t="s">
        <v>15</v>
      </c>
      <c r="C26" s="421" t="e">
        <f>#REF!</f>
        <v>#REF!</v>
      </c>
      <c r="D26" s="252" t="e">
        <f>#REF!</f>
        <v>#REF!</v>
      </c>
      <c r="E26" s="421" t="e">
        <f>#REF!</f>
        <v>#REF!</v>
      </c>
      <c r="F26" s="422" t="e">
        <f>#REF!</f>
        <v>#REF!</v>
      </c>
      <c r="G26" s="160"/>
      <c r="H26" s="423" t="e">
        <f>#REF!</f>
        <v>#REF!</v>
      </c>
      <c r="I26" s="423" t="e">
        <f>#REF!</f>
        <v>#REF!</v>
      </c>
      <c r="J26" s="160"/>
      <c r="K26" s="421" t="e">
        <f>#REF!</f>
        <v>#REF!</v>
      </c>
      <c r="L26" s="421" t="e">
        <f>#REF!</f>
        <v>#REF!</v>
      </c>
      <c r="M26" s="435" t="e">
        <f t="shared" si="10"/>
        <v>#REF!</v>
      </c>
      <c r="N26" s="252" t="e">
        <f t="shared" si="11"/>
        <v>#REF!</v>
      </c>
      <c r="O26" s="436">
        <v>0</v>
      </c>
      <c r="P26" s="437" t="e">
        <f>I26-#REF!</f>
        <v>#REF!</v>
      </c>
      <c r="Q26" s="436" t="e">
        <f>P26*F26*$D$76*$D$78*$A$81/1000</f>
        <v>#REF!</v>
      </c>
      <c r="R26" s="436">
        <v>0</v>
      </c>
    </row>
    <row r="27" spans="1:18" ht="40.5" x14ac:dyDescent="0.2">
      <c r="A27" s="217" t="s">
        <v>514</v>
      </c>
      <c r="B27" s="147" t="s">
        <v>15</v>
      </c>
      <c r="C27" s="421" t="e">
        <f>#REF!</f>
        <v>#REF!</v>
      </c>
      <c r="D27" s="252" t="e">
        <f>#REF!</f>
        <v>#REF!</v>
      </c>
      <c r="E27" s="421" t="e">
        <f>#REF!</f>
        <v>#REF!</v>
      </c>
      <c r="F27" s="422" t="e">
        <f>#REF!</f>
        <v>#REF!</v>
      </c>
      <c r="G27" s="160"/>
      <c r="H27" s="423" t="e">
        <f>#REF!</f>
        <v>#REF!</v>
      </c>
      <c r="I27" s="423" t="e">
        <f>#REF!</f>
        <v>#REF!</v>
      </c>
      <c r="J27" s="160"/>
      <c r="K27" s="421" t="e">
        <f>#REF!</f>
        <v>#REF!</v>
      </c>
      <c r="L27" s="421" t="e">
        <f>#REF!</f>
        <v>#REF!</v>
      </c>
      <c r="M27" s="435" t="e">
        <f t="shared" si="10"/>
        <v>#REF!</v>
      </c>
      <c r="N27" s="252" t="e">
        <f t="shared" si="11"/>
        <v>#REF!</v>
      </c>
      <c r="O27" s="436">
        <v>0</v>
      </c>
      <c r="P27" s="437" t="e">
        <f>I27-#REF!</f>
        <v>#REF!</v>
      </c>
      <c r="Q27" s="436" t="e">
        <f>P27*F27*$D$76*$D$78*$A$81/1000</f>
        <v>#REF!</v>
      </c>
      <c r="R27" s="436" t="e">
        <f>M27-O27-Q27</f>
        <v>#REF!</v>
      </c>
    </row>
    <row r="28" spans="1:18" ht="40.5" x14ac:dyDescent="0.2">
      <c r="A28" s="253" t="s">
        <v>515</v>
      </c>
      <c r="B28" s="147" t="s">
        <v>15</v>
      </c>
      <c r="C28" s="421" t="e">
        <f>#REF!</f>
        <v>#REF!</v>
      </c>
      <c r="D28" s="252" t="e">
        <f>#REF!</f>
        <v>#REF!</v>
      </c>
      <c r="E28" s="421" t="e">
        <f>#REF!</f>
        <v>#REF!</v>
      </c>
      <c r="F28" s="422" t="e">
        <f>#REF!</f>
        <v>#REF!</v>
      </c>
      <c r="G28" s="160" t="e">
        <f t="shared" si="8"/>
        <v>#REF!</v>
      </c>
      <c r="H28" s="423" t="e">
        <f>#REF!</f>
        <v>#REF!</v>
      </c>
      <c r="I28" s="423" t="e">
        <f>#REF!</f>
        <v>#REF!</v>
      </c>
      <c r="J28" s="160" t="e">
        <f t="shared" si="9"/>
        <v>#REF!</v>
      </c>
      <c r="K28" s="421" t="e">
        <f>#REF!</f>
        <v>#REF!</v>
      </c>
      <c r="L28" s="421" t="e">
        <f>#REF!</f>
        <v>#REF!</v>
      </c>
      <c r="M28" s="435" t="e">
        <f t="shared" si="10"/>
        <v>#REF!</v>
      </c>
      <c r="N28" s="252" t="e">
        <f t="shared" si="11"/>
        <v>#REF!</v>
      </c>
      <c r="O28" s="436" t="e">
        <f>N28*I28*$D$76*$D$78*$A$81/1000</f>
        <v>#REF!</v>
      </c>
      <c r="P28" s="437" t="e">
        <f>I28-#REF!</f>
        <v>#REF!</v>
      </c>
      <c r="Q28" s="436" t="e">
        <f>P28*F28*$D$76*$D$78*$A$81/1000</f>
        <v>#REF!</v>
      </c>
      <c r="R28" s="436" t="e">
        <f>M28-O28-Q28</f>
        <v>#REF!</v>
      </c>
    </row>
    <row r="29" spans="1:18" ht="35.25" customHeight="1" x14ac:dyDescent="0.2">
      <c r="A29" s="452" t="s">
        <v>497</v>
      </c>
      <c r="B29" s="453"/>
      <c r="C29" s="454"/>
      <c r="D29" s="455"/>
      <c r="E29" s="454"/>
      <c r="F29" s="456"/>
      <c r="G29" s="457"/>
      <c r="H29" s="458"/>
      <c r="I29" s="458"/>
      <c r="J29" s="457"/>
      <c r="K29" s="454"/>
      <c r="L29" s="454"/>
      <c r="M29" s="459" t="e">
        <f>M31+M52</f>
        <v>#REF!</v>
      </c>
      <c r="N29" s="455"/>
      <c r="O29" s="459" t="e">
        <f t="shared" ref="O29:R29" si="12">O31+O52</f>
        <v>#REF!</v>
      </c>
      <c r="P29" s="460"/>
      <c r="Q29" s="459" t="e">
        <f t="shared" si="12"/>
        <v>#REF!</v>
      </c>
      <c r="R29" s="459" t="e">
        <f t="shared" si="12"/>
        <v>#REF!</v>
      </c>
    </row>
    <row r="30" spans="1:18" ht="60.75" x14ac:dyDescent="0.2">
      <c r="A30" s="253" t="s">
        <v>516</v>
      </c>
      <c r="B30" s="147"/>
      <c r="C30" s="421"/>
      <c r="D30" s="252"/>
      <c r="E30" s="421"/>
      <c r="F30" s="422"/>
      <c r="G30" s="160"/>
      <c r="H30" s="423"/>
      <c r="I30" s="423"/>
      <c r="J30" s="160"/>
      <c r="K30" s="421"/>
      <c r="L30" s="421"/>
      <c r="M30" s="435"/>
      <c r="N30" s="252"/>
      <c r="O30" s="435"/>
      <c r="P30" s="448"/>
      <c r="Q30" s="435"/>
      <c r="R30" s="435"/>
    </row>
    <row r="31" spans="1:18" ht="40.5" x14ac:dyDescent="0.2">
      <c r="A31" s="253" t="s">
        <v>105</v>
      </c>
      <c r="B31" s="147" t="s">
        <v>39</v>
      </c>
      <c r="C31" s="421" t="e">
        <f>#REF!</f>
        <v>#REF!</v>
      </c>
      <c r="D31" s="252" t="e">
        <f>#REF!</f>
        <v>#REF!</v>
      </c>
      <c r="E31" s="421" t="e">
        <f>#REF!</f>
        <v>#REF!</v>
      </c>
      <c r="F31" s="422" t="e">
        <f>#REF!</f>
        <v>#REF!</v>
      </c>
      <c r="G31" s="160" t="e">
        <f t="shared" si="8"/>
        <v>#REF!</v>
      </c>
      <c r="H31" s="423" t="e">
        <f>#REF!</f>
        <v>#REF!</v>
      </c>
      <c r="I31" s="423" t="e">
        <f>#REF!</f>
        <v>#REF!</v>
      </c>
      <c r="J31" s="160" t="e">
        <f t="shared" si="9"/>
        <v>#REF!</v>
      </c>
      <c r="K31" s="421" t="e">
        <f>#REF!+K50</f>
        <v>#REF!</v>
      </c>
      <c r="L31" s="421" t="e">
        <f>#REF!+L50</f>
        <v>#REF!</v>
      </c>
      <c r="M31" s="435" t="e">
        <f t="shared" si="10"/>
        <v>#REF!</v>
      </c>
      <c r="N31" s="252" t="e">
        <f t="shared" si="11"/>
        <v>#REF!</v>
      </c>
      <c r="O31" s="435" t="e">
        <f>N31*I31*$D$76*$D$78/1000</f>
        <v>#REF!</v>
      </c>
      <c r="P31" s="448" t="e">
        <f>I31-#REF!</f>
        <v>#REF!</v>
      </c>
      <c r="Q31" s="435" t="e">
        <f>P31*F31*$D$76*$D$78/1000</f>
        <v>#REF!</v>
      </c>
      <c r="R31" s="435" t="e">
        <f>M31-O31-Q31</f>
        <v>#REF!</v>
      </c>
    </row>
    <row r="32" spans="1:18" ht="60.75" hidden="1" x14ac:dyDescent="0.2">
      <c r="A32" s="253" t="s">
        <v>439</v>
      </c>
      <c r="B32" s="147" t="s">
        <v>39</v>
      </c>
      <c r="C32" s="421" t="e">
        <f>#REF!</f>
        <v>#REF!</v>
      </c>
      <c r="D32" s="252" t="e">
        <f>#REF!</f>
        <v>#REF!</v>
      </c>
      <c r="E32" s="421" t="e">
        <f>#REF!</f>
        <v>#REF!</v>
      </c>
      <c r="F32" s="422" t="e">
        <f>#REF!</f>
        <v>#REF!</v>
      </c>
      <c r="G32" s="160" t="e">
        <f t="shared" si="8"/>
        <v>#REF!</v>
      </c>
      <c r="H32" s="423" t="e">
        <f>#REF!</f>
        <v>#REF!</v>
      </c>
      <c r="I32" s="423" t="e">
        <f>#REF!</f>
        <v>#REF!</v>
      </c>
      <c r="J32" s="160" t="e">
        <f t="shared" si="9"/>
        <v>#REF!</v>
      </c>
      <c r="K32" s="421" t="e">
        <f>#REF!</f>
        <v>#REF!</v>
      </c>
      <c r="L32" s="421" t="e">
        <f>#REF!</f>
        <v>#REF!</v>
      </c>
      <c r="M32" s="435" t="e">
        <f t="shared" si="10"/>
        <v>#REF!</v>
      </c>
      <c r="N32" s="252" t="e">
        <f t="shared" si="11"/>
        <v>#REF!</v>
      </c>
      <c r="O32" s="436" t="e">
        <f>N32*I32*$D$76*$D$78/1000</f>
        <v>#REF!</v>
      </c>
      <c r="P32" s="437" t="e">
        <f>I32-#REF!</f>
        <v>#REF!</v>
      </c>
      <c r="Q32" s="436" t="e">
        <f>P32*F32*$D$76*$D$78/1000</f>
        <v>#REF!</v>
      </c>
      <c r="R32" s="436" t="e">
        <f>M32-O32-Q32</f>
        <v>#REF!</v>
      </c>
    </row>
    <row r="33" spans="1:18" hidden="1" x14ac:dyDescent="0.2">
      <c r="A33" s="217" t="s">
        <v>440</v>
      </c>
      <c r="B33" s="147" t="s">
        <v>39</v>
      </c>
      <c r="C33" s="421" t="e">
        <f>#REF!</f>
        <v>#REF!</v>
      </c>
      <c r="D33" s="252" t="e">
        <f>#REF!</f>
        <v>#REF!</v>
      </c>
      <c r="E33" s="421" t="e">
        <f>#REF!</f>
        <v>#REF!</v>
      </c>
      <c r="F33" s="422" t="e">
        <f>#REF!</f>
        <v>#REF!</v>
      </c>
      <c r="G33" s="160" t="e">
        <f t="shared" si="8"/>
        <v>#REF!</v>
      </c>
      <c r="H33" s="423" t="e">
        <f>#REF!</f>
        <v>#REF!</v>
      </c>
      <c r="I33" s="423" t="e">
        <f>#REF!</f>
        <v>#REF!</v>
      </c>
      <c r="J33" s="160" t="e">
        <f t="shared" si="9"/>
        <v>#REF!</v>
      </c>
      <c r="K33" s="421" t="e">
        <f>#REF!</f>
        <v>#REF!</v>
      </c>
      <c r="L33" s="421" t="e">
        <f>#REF!</f>
        <v>#REF!</v>
      </c>
      <c r="M33" s="435" t="e">
        <f t="shared" si="10"/>
        <v>#REF!</v>
      </c>
      <c r="N33" s="252" t="e">
        <f t="shared" si="11"/>
        <v>#REF!</v>
      </c>
      <c r="O33" s="436" t="e">
        <f>N33*I33*$D$76*$D$78/1000</f>
        <v>#REF!</v>
      </c>
      <c r="P33" s="437" t="e">
        <f>I33-#REF!</f>
        <v>#REF!</v>
      </c>
      <c r="Q33" s="436" t="e">
        <f>P33*F33*$D$76*$D$78/1000</f>
        <v>#REF!</v>
      </c>
      <c r="R33" s="436" t="e">
        <f>M33-O33-Q33</f>
        <v>#REF!</v>
      </c>
    </row>
    <row r="34" spans="1:18" hidden="1" x14ac:dyDescent="0.2">
      <c r="A34" s="217" t="s">
        <v>441</v>
      </c>
      <c r="B34" s="147" t="s">
        <v>39</v>
      </c>
      <c r="C34" s="421" t="e">
        <f>#REF!</f>
        <v>#REF!</v>
      </c>
      <c r="D34" s="252" t="e">
        <f>#REF!</f>
        <v>#REF!</v>
      </c>
      <c r="E34" s="421" t="e">
        <f>#REF!</f>
        <v>#REF!</v>
      </c>
      <c r="F34" s="422" t="e">
        <f>#REF!</f>
        <v>#REF!</v>
      </c>
      <c r="G34" s="160" t="e">
        <f t="shared" si="8"/>
        <v>#REF!</v>
      </c>
      <c r="H34" s="423" t="e">
        <f>#REF!</f>
        <v>#REF!</v>
      </c>
      <c r="I34" s="423" t="e">
        <f>#REF!</f>
        <v>#REF!</v>
      </c>
      <c r="J34" s="160" t="e">
        <f t="shared" si="9"/>
        <v>#REF!</v>
      </c>
      <c r="K34" s="421" t="e">
        <f>#REF!</f>
        <v>#REF!</v>
      </c>
      <c r="L34" s="421" t="e">
        <f>#REF!</f>
        <v>#REF!</v>
      </c>
      <c r="M34" s="435" t="e">
        <f t="shared" si="10"/>
        <v>#REF!</v>
      </c>
      <c r="N34" s="252" t="e">
        <f t="shared" si="11"/>
        <v>#REF!</v>
      </c>
      <c r="O34" s="436" t="e">
        <f>N34*I34*$D$76*$D$78/1000</f>
        <v>#REF!</v>
      </c>
      <c r="P34" s="437" t="e">
        <f>I34-#REF!</f>
        <v>#REF!</v>
      </c>
      <c r="Q34" s="436" t="e">
        <f>P34*F34*$D$76*$D$78/1000</f>
        <v>#REF!</v>
      </c>
      <c r="R34" s="436" t="e">
        <f>M34-O34-Q34</f>
        <v>#REF!</v>
      </c>
    </row>
    <row r="35" spans="1:18" ht="40.5" x14ac:dyDescent="0.2">
      <c r="A35" s="217" t="s">
        <v>517</v>
      </c>
      <c r="B35" s="147" t="s">
        <v>39</v>
      </c>
      <c r="C35" s="421"/>
      <c r="D35" s="252"/>
      <c r="E35" s="421"/>
      <c r="F35" s="422"/>
      <c r="G35" s="160"/>
      <c r="H35" s="423"/>
      <c r="I35" s="423"/>
      <c r="J35" s="160"/>
      <c r="K35" s="421"/>
      <c r="L35" s="421"/>
      <c r="M35" s="435"/>
      <c r="N35" s="252"/>
      <c r="O35" s="436"/>
      <c r="P35" s="437"/>
      <c r="Q35" s="436"/>
      <c r="R35" s="436"/>
    </row>
    <row r="36" spans="1:18" x14ac:dyDescent="0.2">
      <c r="A36" s="217" t="s">
        <v>108</v>
      </c>
      <c r="B36" s="147" t="s">
        <v>39</v>
      </c>
      <c r="C36" s="421" t="e">
        <f>#REF!</f>
        <v>#REF!</v>
      </c>
      <c r="D36" s="252" t="e">
        <f>#REF!</f>
        <v>#REF!</v>
      </c>
      <c r="E36" s="421" t="e">
        <f>#REF!</f>
        <v>#REF!</v>
      </c>
      <c r="F36" s="422" t="e">
        <f>#REF!</f>
        <v>#REF!</v>
      </c>
      <c r="G36" s="160" t="e">
        <f t="shared" si="8"/>
        <v>#REF!</v>
      </c>
      <c r="H36" s="423" t="e">
        <f>#REF!</f>
        <v>#REF!</v>
      </c>
      <c r="I36" s="423" t="e">
        <f>#REF!</f>
        <v>#REF!</v>
      </c>
      <c r="J36" s="160" t="e">
        <f t="shared" si="9"/>
        <v>#REF!</v>
      </c>
      <c r="K36" s="421" t="e">
        <f>#REF!</f>
        <v>#REF!</v>
      </c>
      <c r="L36" s="421" t="e">
        <f>#REF!</f>
        <v>#REF!</v>
      </c>
      <c r="M36" s="435" t="e">
        <f t="shared" si="10"/>
        <v>#REF!</v>
      </c>
      <c r="N36" s="252" t="e">
        <f t="shared" si="11"/>
        <v>#REF!</v>
      </c>
      <c r="O36" s="436" t="e">
        <f>N36*I36*$D$76*$D$78/1000</f>
        <v>#REF!</v>
      </c>
      <c r="P36" s="437" t="e">
        <f>I36-#REF!</f>
        <v>#REF!</v>
      </c>
      <c r="Q36" s="436">
        <v>537900</v>
      </c>
      <c r="R36" s="436" t="e">
        <f>M36-O36-Q36</f>
        <v>#REF!</v>
      </c>
    </row>
    <row r="37" spans="1:18" hidden="1" x14ac:dyDescent="0.2">
      <c r="A37" s="255" t="s">
        <v>369</v>
      </c>
      <c r="B37" s="147" t="s">
        <v>39</v>
      </c>
      <c r="C37" s="421" t="e">
        <f>#REF!</f>
        <v>#REF!</v>
      </c>
      <c r="D37" s="252" t="e">
        <f>#REF!</f>
        <v>#REF!</v>
      </c>
      <c r="E37" s="421" t="e">
        <f>#REF!</f>
        <v>#REF!</v>
      </c>
      <c r="F37" s="422" t="e">
        <f>#REF!</f>
        <v>#REF!</v>
      </c>
      <c r="G37" s="160" t="e">
        <f t="shared" si="8"/>
        <v>#REF!</v>
      </c>
      <c r="H37" s="423" t="e">
        <f>#REF!</f>
        <v>#REF!</v>
      </c>
      <c r="I37" s="423" t="e">
        <f>#REF!</f>
        <v>#REF!</v>
      </c>
      <c r="J37" s="160" t="e">
        <f t="shared" si="9"/>
        <v>#REF!</v>
      </c>
      <c r="K37" s="421" t="e">
        <f>#REF!</f>
        <v>#REF!</v>
      </c>
      <c r="L37" s="421" t="e">
        <f>#REF!</f>
        <v>#REF!</v>
      </c>
      <c r="M37" s="435" t="e">
        <f t="shared" si="10"/>
        <v>#REF!</v>
      </c>
      <c r="N37" s="252" t="e">
        <f t="shared" si="11"/>
        <v>#REF!</v>
      </c>
      <c r="O37" s="436" t="e">
        <f>N37*I37*$D$76*$D$78/1000</f>
        <v>#REF!</v>
      </c>
      <c r="P37" s="437" t="e">
        <f>I37-#REF!</f>
        <v>#REF!</v>
      </c>
      <c r="Q37" s="436" t="e">
        <f>P37*F37*$D$76*$D$78/1000</f>
        <v>#REF!</v>
      </c>
      <c r="R37" s="436" t="e">
        <f>M37-O37-Q37</f>
        <v>#REF!</v>
      </c>
    </row>
    <row r="38" spans="1:18" ht="40.5" hidden="1" x14ac:dyDescent="0.2">
      <c r="A38" s="217" t="s">
        <v>109</v>
      </c>
      <c r="B38" s="147" t="s">
        <v>39</v>
      </c>
      <c r="C38" s="421" t="e">
        <f>#REF!</f>
        <v>#REF!</v>
      </c>
      <c r="D38" s="252" t="e">
        <f>#REF!</f>
        <v>#REF!</v>
      </c>
      <c r="E38" s="421" t="e">
        <f>#REF!</f>
        <v>#REF!</v>
      </c>
      <c r="F38" s="422" t="e">
        <f>#REF!</f>
        <v>#REF!</v>
      </c>
      <c r="G38" s="160" t="e">
        <f t="shared" si="8"/>
        <v>#REF!</v>
      </c>
      <c r="H38" s="423" t="e">
        <f>#REF!</f>
        <v>#REF!</v>
      </c>
      <c r="I38" s="423" t="e">
        <f>#REF!</f>
        <v>#REF!</v>
      </c>
      <c r="J38" s="160" t="e">
        <f t="shared" si="9"/>
        <v>#REF!</v>
      </c>
      <c r="K38" s="421" t="e">
        <f>#REF!</f>
        <v>#REF!</v>
      </c>
      <c r="L38" s="421" t="e">
        <f>#REF!</f>
        <v>#REF!</v>
      </c>
      <c r="M38" s="435" t="e">
        <f t="shared" si="10"/>
        <v>#REF!</v>
      </c>
      <c r="N38" s="252" t="e">
        <f t="shared" si="11"/>
        <v>#REF!</v>
      </c>
      <c r="O38" s="436" t="e">
        <f>N38*I38*$D$76*$D$78/1000</f>
        <v>#REF!</v>
      </c>
      <c r="P38" s="437" t="e">
        <f>I38-#REF!</f>
        <v>#REF!</v>
      </c>
      <c r="Q38" s="436" t="e">
        <f>P38*F38*$D$76*$D$78/1000</f>
        <v>#REF!</v>
      </c>
      <c r="R38" s="436" t="e">
        <f>M38-O38-Q38</f>
        <v>#REF!</v>
      </c>
    </row>
    <row r="39" spans="1:18" ht="60.75" hidden="1" x14ac:dyDescent="0.2">
      <c r="A39" s="255" t="s">
        <v>370</v>
      </c>
      <c r="B39" s="147" t="s">
        <v>39</v>
      </c>
      <c r="C39" s="421" t="e">
        <f>#REF!</f>
        <v>#REF!</v>
      </c>
      <c r="D39" s="252" t="e">
        <f>#REF!</f>
        <v>#REF!</v>
      </c>
      <c r="E39" s="421" t="e">
        <f>#REF!</f>
        <v>#REF!</v>
      </c>
      <c r="F39" s="422" t="e">
        <f>#REF!</f>
        <v>#REF!</v>
      </c>
      <c r="G39" s="160" t="e">
        <f t="shared" si="8"/>
        <v>#REF!</v>
      </c>
      <c r="H39" s="423" t="e">
        <f>#REF!</f>
        <v>#REF!</v>
      </c>
      <c r="I39" s="423" t="e">
        <f>#REF!</f>
        <v>#REF!</v>
      </c>
      <c r="J39" s="160" t="e">
        <f t="shared" si="9"/>
        <v>#REF!</v>
      </c>
      <c r="K39" s="421" t="e">
        <f>#REF!</f>
        <v>#REF!</v>
      </c>
      <c r="L39" s="421" t="e">
        <f>#REF!</f>
        <v>#REF!</v>
      </c>
      <c r="M39" s="435" t="e">
        <f t="shared" si="10"/>
        <v>#REF!</v>
      </c>
      <c r="N39" s="252" t="e">
        <f t="shared" si="11"/>
        <v>#REF!</v>
      </c>
      <c r="O39" s="436" t="e">
        <f>N39*I39*$D$76*$D$78/1000</f>
        <v>#REF!</v>
      </c>
      <c r="P39" s="437" t="e">
        <f>I39-#REF!</f>
        <v>#REF!</v>
      </c>
      <c r="Q39" s="436" t="e">
        <f>P39*F39*$D$76*$D$78/1000</f>
        <v>#REF!</v>
      </c>
      <c r="R39" s="436" t="e">
        <f>M39-O39-Q39</f>
        <v>#REF!</v>
      </c>
    </row>
    <row r="40" spans="1:18" ht="60.75" x14ac:dyDescent="0.2">
      <c r="A40" s="217" t="s">
        <v>518</v>
      </c>
      <c r="B40" s="147" t="s">
        <v>39</v>
      </c>
      <c r="C40" s="421"/>
      <c r="D40" s="252"/>
      <c r="E40" s="421"/>
      <c r="F40" s="422"/>
      <c r="G40" s="160"/>
      <c r="H40" s="423"/>
      <c r="I40" s="423"/>
      <c r="J40" s="160"/>
      <c r="K40" s="421"/>
      <c r="L40" s="421"/>
      <c r="M40" s="435"/>
      <c r="N40" s="252"/>
      <c r="O40" s="436"/>
      <c r="P40" s="437"/>
      <c r="Q40" s="436"/>
      <c r="R40" s="436"/>
    </row>
    <row r="41" spans="1:18" x14ac:dyDescent="0.2">
      <c r="A41" s="217" t="s">
        <v>108</v>
      </c>
      <c r="B41" s="147" t="s">
        <v>39</v>
      </c>
      <c r="C41" s="421" t="e">
        <f>#REF!</f>
        <v>#REF!</v>
      </c>
      <c r="D41" s="252" t="e">
        <f>#REF!</f>
        <v>#REF!</v>
      </c>
      <c r="E41" s="421" t="e">
        <f>#REF!</f>
        <v>#REF!</v>
      </c>
      <c r="F41" s="422" t="e">
        <f>#REF!</f>
        <v>#REF!</v>
      </c>
      <c r="G41" s="160" t="e">
        <f t="shared" si="8"/>
        <v>#REF!</v>
      </c>
      <c r="H41" s="423" t="e">
        <f>#REF!</f>
        <v>#REF!</v>
      </c>
      <c r="I41" s="423" t="e">
        <f>#REF!</f>
        <v>#REF!</v>
      </c>
      <c r="J41" s="160" t="e">
        <f t="shared" si="9"/>
        <v>#REF!</v>
      </c>
      <c r="K41" s="421" t="e">
        <f>#REF!</f>
        <v>#REF!</v>
      </c>
      <c r="L41" s="421" t="e">
        <f>#REF!</f>
        <v>#REF!</v>
      </c>
      <c r="M41" s="435" t="e">
        <f t="shared" si="10"/>
        <v>#REF!</v>
      </c>
      <c r="N41" s="252" t="e">
        <f t="shared" si="11"/>
        <v>#REF!</v>
      </c>
      <c r="O41" s="436" t="e">
        <f>N41*I41*$D$76*$D$78/1000</f>
        <v>#REF!</v>
      </c>
      <c r="P41" s="437" t="e">
        <f>I41-#REF!</f>
        <v>#REF!</v>
      </c>
      <c r="Q41" s="436">
        <v>-451621</v>
      </c>
      <c r="R41" s="436">
        <v>0</v>
      </c>
    </row>
    <row r="42" spans="1:18" ht="40.5" hidden="1" x14ac:dyDescent="0.2">
      <c r="A42" s="217" t="s">
        <v>109</v>
      </c>
      <c r="B42" s="147" t="s">
        <v>39</v>
      </c>
      <c r="C42" s="421" t="e">
        <f>#REF!</f>
        <v>#REF!</v>
      </c>
      <c r="D42" s="252" t="e">
        <f>#REF!</f>
        <v>#REF!</v>
      </c>
      <c r="E42" s="421" t="e">
        <f>#REF!</f>
        <v>#REF!</v>
      </c>
      <c r="F42" s="422" t="e">
        <f>#REF!</f>
        <v>#REF!</v>
      </c>
      <c r="G42" s="160" t="e">
        <f t="shared" si="8"/>
        <v>#REF!</v>
      </c>
      <c r="H42" s="423" t="e">
        <f>#REF!</f>
        <v>#REF!</v>
      </c>
      <c r="I42" s="423" t="e">
        <f>#REF!</f>
        <v>#REF!</v>
      </c>
      <c r="J42" s="160" t="e">
        <f t="shared" si="9"/>
        <v>#REF!</v>
      </c>
      <c r="K42" s="421" t="e">
        <f>#REF!</f>
        <v>#REF!</v>
      </c>
      <c r="L42" s="421" t="e">
        <f>#REF!</f>
        <v>#REF!</v>
      </c>
      <c r="M42" s="435" t="e">
        <f t="shared" si="10"/>
        <v>#REF!</v>
      </c>
      <c r="N42" s="252" t="e">
        <f t="shared" si="11"/>
        <v>#REF!</v>
      </c>
      <c r="O42" s="436" t="e">
        <f t="shared" ref="O42:O50" si="13">N42*I42*$D$76*$D$78/1000</f>
        <v>#REF!</v>
      </c>
      <c r="P42" s="437" t="e">
        <f>I42-#REF!</f>
        <v>#REF!</v>
      </c>
      <c r="Q42" s="436" t="e">
        <f>P42*F42*$D$76*$D$78/1000</f>
        <v>#REF!</v>
      </c>
      <c r="R42" s="436" t="e">
        <f>M42-O42-Q42</f>
        <v>#REF!</v>
      </c>
    </row>
    <row r="43" spans="1:18" ht="40.5" hidden="1" x14ac:dyDescent="0.2">
      <c r="A43" s="217" t="s">
        <v>435</v>
      </c>
      <c r="B43" s="147" t="s">
        <v>39</v>
      </c>
      <c r="C43" s="421" t="e">
        <f>#REF!</f>
        <v>#REF!</v>
      </c>
      <c r="D43" s="252" t="e">
        <f>#REF!</f>
        <v>#REF!</v>
      </c>
      <c r="E43" s="421" t="e">
        <f>#REF!</f>
        <v>#REF!</v>
      </c>
      <c r="F43" s="422" t="e">
        <f>#REF!</f>
        <v>#REF!</v>
      </c>
      <c r="G43" s="160" t="e">
        <f t="shared" si="8"/>
        <v>#REF!</v>
      </c>
      <c r="H43" s="423" t="e">
        <f>#REF!</f>
        <v>#REF!</v>
      </c>
      <c r="I43" s="423" t="e">
        <f>#REF!</f>
        <v>#REF!</v>
      </c>
      <c r="J43" s="160" t="e">
        <f t="shared" si="9"/>
        <v>#REF!</v>
      </c>
      <c r="K43" s="421" t="e">
        <f>#REF!</f>
        <v>#REF!</v>
      </c>
      <c r="L43" s="421" t="e">
        <f>#REF!</f>
        <v>#REF!</v>
      </c>
      <c r="M43" s="435" t="e">
        <f t="shared" si="10"/>
        <v>#REF!</v>
      </c>
      <c r="N43" s="252" t="e">
        <f t="shared" si="11"/>
        <v>#REF!</v>
      </c>
      <c r="O43" s="436" t="e">
        <f t="shared" si="13"/>
        <v>#REF!</v>
      </c>
      <c r="P43" s="437" t="e">
        <f>I43-#REF!</f>
        <v>#REF!</v>
      </c>
      <c r="Q43" s="436" t="e">
        <f>P43*F43*$D$76*$D$78/1000</f>
        <v>#REF!</v>
      </c>
      <c r="R43" s="436" t="e">
        <f>M43-O43-Q43</f>
        <v>#REF!</v>
      </c>
    </row>
    <row r="44" spans="1:18" ht="40.5" hidden="1" x14ac:dyDescent="0.2">
      <c r="A44" s="217" t="s">
        <v>109</v>
      </c>
      <c r="B44" s="147" t="s">
        <v>39</v>
      </c>
      <c r="C44" s="421" t="e">
        <f>#REF!</f>
        <v>#REF!</v>
      </c>
      <c r="D44" s="252" t="e">
        <f>#REF!</f>
        <v>#REF!</v>
      </c>
      <c r="E44" s="421" t="e">
        <f>#REF!</f>
        <v>#REF!</v>
      </c>
      <c r="F44" s="422" t="e">
        <f>#REF!</f>
        <v>#REF!</v>
      </c>
      <c r="G44" s="160" t="e">
        <f t="shared" si="8"/>
        <v>#REF!</v>
      </c>
      <c r="H44" s="423" t="e">
        <f>#REF!</f>
        <v>#REF!</v>
      </c>
      <c r="I44" s="423" t="e">
        <f>#REF!</f>
        <v>#REF!</v>
      </c>
      <c r="J44" s="160" t="e">
        <f t="shared" si="9"/>
        <v>#REF!</v>
      </c>
      <c r="K44" s="421" t="e">
        <f>#REF!</f>
        <v>#REF!</v>
      </c>
      <c r="L44" s="421" t="e">
        <f>#REF!</f>
        <v>#REF!</v>
      </c>
      <c r="M44" s="435" t="e">
        <f t="shared" si="10"/>
        <v>#REF!</v>
      </c>
      <c r="N44" s="252" t="e">
        <f t="shared" si="11"/>
        <v>#REF!</v>
      </c>
      <c r="O44" s="436" t="e">
        <f t="shared" si="13"/>
        <v>#REF!</v>
      </c>
      <c r="P44" s="437" t="e">
        <f>I44-#REF!</f>
        <v>#REF!</v>
      </c>
      <c r="Q44" s="436" t="e">
        <f>P44*F44*$D$76*$D$78/1000</f>
        <v>#REF!</v>
      </c>
      <c r="R44" s="436" t="e">
        <f>M44-O44-Q44</f>
        <v>#REF!</v>
      </c>
    </row>
    <row r="45" spans="1:18" hidden="1" x14ac:dyDescent="0.2">
      <c r="A45" s="217" t="s">
        <v>436</v>
      </c>
      <c r="B45" s="147" t="s">
        <v>39</v>
      </c>
      <c r="C45" s="421"/>
      <c r="D45" s="252"/>
      <c r="E45" s="421"/>
      <c r="F45" s="422"/>
      <c r="G45" s="160" t="e">
        <f t="shared" si="8"/>
        <v>#DIV/0!</v>
      </c>
      <c r="H45" s="423"/>
      <c r="I45" s="423"/>
      <c r="J45" s="160" t="e">
        <f t="shared" si="9"/>
        <v>#DIV/0!</v>
      </c>
      <c r="K45" s="421"/>
      <c r="L45" s="421"/>
      <c r="M45" s="435">
        <f t="shared" si="10"/>
        <v>0</v>
      </c>
      <c r="N45" s="252">
        <f t="shared" si="11"/>
        <v>0</v>
      </c>
      <c r="O45" s="436">
        <f t="shared" si="13"/>
        <v>0</v>
      </c>
      <c r="P45" s="437"/>
      <c r="Q45" s="436"/>
      <c r="R45" s="436"/>
    </row>
    <row r="46" spans="1:18" hidden="1" x14ac:dyDescent="0.2">
      <c r="A46" s="220" t="s">
        <v>108</v>
      </c>
      <c r="B46" s="147" t="s">
        <v>39</v>
      </c>
      <c r="C46" s="421" t="e">
        <f>#REF!</f>
        <v>#REF!</v>
      </c>
      <c r="D46" s="252" t="e">
        <f>#REF!</f>
        <v>#REF!</v>
      </c>
      <c r="E46" s="421" t="e">
        <f>#REF!</f>
        <v>#REF!</v>
      </c>
      <c r="F46" s="422" t="e">
        <f>#REF!</f>
        <v>#REF!</v>
      </c>
      <c r="G46" s="160" t="e">
        <f t="shared" si="8"/>
        <v>#REF!</v>
      </c>
      <c r="H46" s="423" t="e">
        <f>#REF!</f>
        <v>#REF!</v>
      </c>
      <c r="I46" s="423" t="e">
        <f>#REF!</f>
        <v>#REF!</v>
      </c>
      <c r="J46" s="160" t="e">
        <f t="shared" si="9"/>
        <v>#REF!</v>
      </c>
      <c r="K46" s="421" t="e">
        <f>#REF!</f>
        <v>#REF!</v>
      </c>
      <c r="L46" s="421" t="e">
        <f>#REF!</f>
        <v>#REF!</v>
      </c>
      <c r="M46" s="435" t="e">
        <f t="shared" si="10"/>
        <v>#REF!</v>
      </c>
      <c r="N46" s="252" t="e">
        <f t="shared" si="11"/>
        <v>#REF!</v>
      </c>
      <c r="O46" s="436" t="e">
        <f t="shared" si="13"/>
        <v>#REF!</v>
      </c>
      <c r="P46" s="437" t="e">
        <f>I46-#REF!</f>
        <v>#REF!</v>
      </c>
      <c r="Q46" s="436" t="e">
        <f>P46*F46*$D$76*$D$78/1000</f>
        <v>#REF!</v>
      </c>
      <c r="R46" s="436" t="e">
        <f>M46-O46-Q46</f>
        <v>#REF!</v>
      </c>
    </row>
    <row r="47" spans="1:18" ht="60.75" hidden="1" x14ac:dyDescent="0.2">
      <c r="A47" s="220" t="s">
        <v>442</v>
      </c>
      <c r="B47" s="147" t="s">
        <v>39</v>
      </c>
      <c r="C47" s="421" t="e">
        <f>#REF!</f>
        <v>#REF!</v>
      </c>
      <c r="D47" s="252" t="e">
        <f>#REF!</f>
        <v>#REF!</v>
      </c>
      <c r="E47" s="421" t="e">
        <f>#REF!</f>
        <v>#REF!</v>
      </c>
      <c r="F47" s="422" t="e">
        <f>#REF!</f>
        <v>#REF!</v>
      </c>
      <c r="G47" s="160" t="e">
        <f t="shared" si="8"/>
        <v>#REF!</v>
      </c>
      <c r="H47" s="423" t="e">
        <f>#REF!</f>
        <v>#REF!</v>
      </c>
      <c r="I47" s="423" t="e">
        <f>#REF!</f>
        <v>#REF!</v>
      </c>
      <c r="J47" s="160" t="e">
        <f t="shared" si="9"/>
        <v>#REF!</v>
      </c>
      <c r="K47" s="421" t="e">
        <f>#REF!</f>
        <v>#REF!</v>
      </c>
      <c r="L47" s="421" t="e">
        <f>#REF!</f>
        <v>#REF!</v>
      </c>
      <c r="M47" s="435" t="e">
        <f t="shared" si="10"/>
        <v>#REF!</v>
      </c>
      <c r="N47" s="252" t="e">
        <f t="shared" si="11"/>
        <v>#REF!</v>
      </c>
      <c r="O47" s="436" t="e">
        <f t="shared" si="13"/>
        <v>#REF!</v>
      </c>
      <c r="P47" s="437" t="e">
        <f>I47-#REF!</f>
        <v>#REF!</v>
      </c>
      <c r="Q47" s="436" t="e">
        <f>P47*F47*$D$76*$D$78/1000</f>
        <v>#REF!</v>
      </c>
      <c r="R47" s="436" t="e">
        <f>M47-O47-Q47</f>
        <v>#REF!</v>
      </c>
    </row>
    <row r="48" spans="1:18" hidden="1" x14ac:dyDescent="0.2">
      <c r="A48" s="217" t="s">
        <v>440</v>
      </c>
      <c r="B48" s="147" t="s">
        <v>39</v>
      </c>
      <c r="C48" s="421" t="e">
        <f>#REF!</f>
        <v>#REF!</v>
      </c>
      <c r="D48" s="252" t="e">
        <f>#REF!</f>
        <v>#REF!</v>
      </c>
      <c r="E48" s="421" t="e">
        <f>#REF!</f>
        <v>#REF!</v>
      </c>
      <c r="F48" s="422" t="e">
        <f>#REF!</f>
        <v>#REF!</v>
      </c>
      <c r="G48" s="160" t="e">
        <f t="shared" si="8"/>
        <v>#REF!</v>
      </c>
      <c r="H48" s="423" t="e">
        <f>#REF!</f>
        <v>#REF!</v>
      </c>
      <c r="I48" s="423" t="e">
        <f>#REF!</f>
        <v>#REF!</v>
      </c>
      <c r="J48" s="160" t="e">
        <f t="shared" si="9"/>
        <v>#REF!</v>
      </c>
      <c r="K48" s="421" t="e">
        <f>#REF!</f>
        <v>#REF!</v>
      </c>
      <c r="L48" s="421" t="e">
        <f>#REF!</f>
        <v>#REF!</v>
      </c>
      <c r="M48" s="435" t="e">
        <f t="shared" si="10"/>
        <v>#REF!</v>
      </c>
      <c r="N48" s="252" t="e">
        <f t="shared" si="11"/>
        <v>#REF!</v>
      </c>
      <c r="O48" s="436" t="e">
        <f t="shared" si="13"/>
        <v>#REF!</v>
      </c>
      <c r="P48" s="437" t="e">
        <f>I48-#REF!</f>
        <v>#REF!</v>
      </c>
      <c r="Q48" s="436" t="e">
        <f>P48*F48*$D$76*$D$78/1000</f>
        <v>#REF!</v>
      </c>
      <c r="R48" s="436" t="e">
        <f>M48-O48-Q48</f>
        <v>#REF!</v>
      </c>
    </row>
    <row r="49" spans="1:18" hidden="1" x14ac:dyDescent="0.2">
      <c r="A49" s="217" t="s">
        <v>441</v>
      </c>
      <c r="B49" s="147" t="s">
        <v>39</v>
      </c>
      <c r="C49" s="421" t="e">
        <f>#REF!</f>
        <v>#REF!</v>
      </c>
      <c r="D49" s="252" t="e">
        <f>#REF!</f>
        <v>#REF!</v>
      </c>
      <c r="E49" s="421" t="e">
        <f>#REF!</f>
        <v>#REF!</v>
      </c>
      <c r="F49" s="422" t="e">
        <f>#REF!</f>
        <v>#REF!</v>
      </c>
      <c r="G49" s="160" t="e">
        <f t="shared" si="8"/>
        <v>#REF!</v>
      </c>
      <c r="H49" s="423" t="e">
        <f>#REF!</f>
        <v>#REF!</v>
      </c>
      <c r="I49" s="423" t="e">
        <f>#REF!</f>
        <v>#REF!</v>
      </c>
      <c r="J49" s="160" t="e">
        <f t="shared" si="9"/>
        <v>#REF!</v>
      </c>
      <c r="K49" s="421" t="e">
        <f>#REF!</f>
        <v>#REF!</v>
      </c>
      <c r="L49" s="421" t="e">
        <f>#REF!</f>
        <v>#REF!</v>
      </c>
      <c r="M49" s="435" t="e">
        <f t="shared" si="10"/>
        <v>#REF!</v>
      </c>
      <c r="N49" s="252" t="e">
        <f t="shared" si="11"/>
        <v>#REF!</v>
      </c>
      <c r="O49" s="436" t="e">
        <f t="shared" si="13"/>
        <v>#REF!</v>
      </c>
      <c r="P49" s="437" t="e">
        <f>I49-#REF!</f>
        <v>#REF!</v>
      </c>
      <c r="Q49" s="436" t="e">
        <f>P49*F49*$D$76*$D$78/1000</f>
        <v>#REF!</v>
      </c>
      <c r="R49" s="436" t="e">
        <f>M49-O49-Q49</f>
        <v>#REF!</v>
      </c>
    </row>
    <row r="50" spans="1:18" ht="40.5" x14ac:dyDescent="0.2">
      <c r="A50" s="253" t="s">
        <v>520</v>
      </c>
      <c r="B50" s="147" t="s">
        <v>39</v>
      </c>
      <c r="C50" s="421" t="e">
        <f>#REF!</f>
        <v>#REF!</v>
      </c>
      <c r="D50" s="252" t="e">
        <f>#REF!</f>
        <v>#REF!</v>
      </c>
      <c r="E50" s="421" t="e">
        <f>#REF!</f>
        <v>#REF!</v>
      </c>
      <c r="F50" s="422" t="e">
        <f>#REF!</f>
        <v>#REF!</v>
      </c>
      <c r="G50" s="160" t="e">
        <f t="shared" si="8"/>
        <v>#REF!</v>
      </c>
      <c r="H50" s="423" t="e">
        <f>#REF!</f>
        <v>#REF!</v>
      </c>
      <c r="I50" s="423" t="e">
        <f>#REF!</f>
        <v>#REF!</v>
      </c>
      <c r="J50" s="160" t="e">
        <f t="shared" si="9"/>
        <v>#REF!</v>
      </c>
      <c r="K50" s="421" t="e">
        <f>#REF!</f>
        <v>#REF!</v>
      </c>
      <c r="L50" s="421" t="e">
        <f>#REF!</f>
        <v>#REF!</v>
      </c>
      <c r="M50" s="435" t="e">
        <f t="shared" si="10"/>
        <v>#REF!</v>
      </c>
      <c r="N50" s="252" t="e">
        <f t="shared" si="11"/>
        <v>#REF!</v>
      </c>
      <c r="O50" s="436" t="e">
        <f t="shared" si="13"/>
        <v>#REF!</v>
      </c>
      <c r="P50" s="437" t="e">
        <f>I50-#REF!</f>
        <v>#REF!</v>
      </c>
      <c r="Q50" s="436" t="e">
        <f>P50*F50*$D$76*$D$78/1000</f>
        <v>#REF!</v>
      </c>
      <c r="R50" s="436" t="e">
        <f>M50-O50-Q50</f>
        <v>#REF!</v>
      </c>
    </row>
    <row r="51" spans="1:18" ht="81" x14ac:dyDescent="0.2">
      <c r="A51" s="253" t="s">
        <v>519</v>
      </c>
      <c r="B51" s="147" t="s">
        <v>33</v>
      </c>
      <c r="C51" s="421"/>
      <c r="D51" s="252"/>
      <c r="E51" s="421"/>
      <c r="F51" s="422"/>
      <c r="G51" s="160"/>
      <c r="H51" s="423"/>
      <c r="I51" s="423"/>
      <c r="J51" s="160"/>
      <c r="K51" s="421"/>
      <c r="L51" s="421"/>
      <c r="M51" s="435"/>
      <c r="N51" s="252"/>
      <c r="O51" s="436"/>
      <c r="P51" s="437"/>
      <c r="Q51" s="436"/>
      <c r="R51" s="436"/>
    </row>
    <row r="52" spans="1:18" ht="40.5" x14ac:dyDescent="0.2">
      <c r="A52" s="253" t="s">
        <v>105</v>
      </c>
      <c r="B52" s="147" t="s">
        <v>33</v>
      </c>
      <c r="C52" s="421" t="e">
        <f>#REF!</f>
        <v>#REF!</v>
      </c>
      <c r="D52" s="252" t="e">
        <f>#REF!</f>
        <v>#REF!</v>
      </c>
      <c r="E52" s="421" t="e">
        <f>#REF!</f>
        <v>#REF!</v>
      </c>
      <c r="F52" s="422" t="e">
        <f>#REF!</f>
        <v>#REF!</v>
      </c>
      <c r="G52" s="160" t="e">
        <f t="shared" si="8"/>
        <v>#REF!</v>
      </c>
      <c r="H52" s="423" t="e">
        <f>#REF!</f>
        <v>#REF!</v>
      </c>
      <c r="I52" s="423" t="e">
        <f>#REF!</f>
        <v>#REF!</v>
      </c>
      <c r="J52" s="160" t="e">
        <f t="shared" si="9"/>
        <v>#REF!</v>
      </c>
      <c r="K52" s="421" t="e">
        <f>#REF!+K73</f>
        <v>#REF!</v>
      </c>
      <c r="L52" s="421" t="e">
        <f>#REF!+L73</f>
        <v>#REF!</v>
      </c>
      <c r="M52" s="435" t="e">
        <f t="shared" si="10"/>
        <v>#REF!</v>
      </c>
      <c r="N52" s="252" t="e">
        <f t="shared" si="11"/>
        <v>#REF!</v>
      </c>
      <c r="O52" s="435" t="e">
        <f>N52*I52*$D$76*$D$78/1000</f>
        <v>#REF!</v>
      </c>
      <c r="P52" s="448" t="e">
        <f>I52-#REF!</f>
        <v>#REF!</v>
      </c>
      <c r="Q52" s="435" t="e">
        <f>P52*F52*$D$76*$D$78/1000</f>
        <v>#REF!</v>
      </c>
      <c r="R52" s="435" t="e">
        <f>M52-O52-Q52</f>
        <v>#REF!</v>
      </c>
    </row>
    <row r="53" spans="1:18" ht="60.75" hidden="1" x14ac:dyDescent="0.2">
      <c r="A53" s="253" t="s">
        <v>106</v>
      </c>
      <c r="B53" s="147" t="s">
        <v>33</v>
      </c>
      <c r="C53" s="421" t="e">
        <f>#REF!</f>
        <v>#REF!</v>
      </c>
      <c r="D53" s="252" t="e">
        <f>#REF!</f>
        <v>#REF!</v>
      </c>
      <c r="E53" s="421" t="e">
        <f>#REF!</f>
        <v>#REF!</v>
      </c>
      <c r="F53" s="422" t="e">
        <f>#REF!</f>
        <v>#REF!</v>
      </c>
      <c r="G53" s="160" t="e">
        <f t="shared" si="8"/>
        <v>#REF!</v>
      </c>
      <c r="H53" s="423" t="e">
        <f>#REF!</f>
        <v>#REF!</v>
      </c>
      <c r="I53" s="423" t="e">
        <f>#REF!</f>
        <v>#REF!</v>
      </c>
      <c r="J53" s="160" t="e">
        <f t="shared" si="9"/>
        <v>#REF!</v>
      </c>
      <c r="K53" s="421" t="e">
        <f>#REF!</f>
        <v>#REF!</v>
      </c>
      <c r="L53" s="421" t="e">
        <f>#REF!</f>
        <v>#REF!</v>
      </c>
      <c r="M53" s="435" t="e">
        <f t="shared" si="10"/>
        <v>#REF!</v>
      </c>
      <c r="N53" s="252" t="e">
        <f t="shared" si="11"/>
        <v>#REF!</v>
      </c>
      <c r="O53" s="436" t="e">
        <f>N53*I53*$D$76*$D$78/1000</f>
        <v>#REF!</v>
      </c>
      <c r="P53" s="437" t="e">
        <f>I53-#REF!</f>
        <v>#REF!</v>
      </c>
      <c r="Q53" s="436" t="e">
        <f>P53*F53*$D$76*$D$78/1000</f>
        <v>#REF!</v>
      </c>
      <c r="R53" s="436" t="e">
        <f>M53-O53-Q53</f>
        <v>#REF!</v>
      </c>
    </row>
    <row r="54" spans="1:18" ht="40.5" x14ac:dyDescent="0.2">
      <c r="A54" s="217" t="s">
        <v>517</v>
      </c>
      <c r="B54" s="147" t="s">
        <v>33</v>
      </c>
      <c r="C54" s="421"/>
      <c r="D54" s="252"/>
      <c r="E54" s="421"/>
      <c r="F54" s="422"/>
      <c r="G54" s="160"/>
      <c r="H54" s="423"/>
      <c r="I54" s="423"/>
      <c r="J54" s="160"/>
      <c r="K54" s="421"/>
      <c r="L54" s="421"/>
      <c r="M54" s="435"/>
      <c r="N54" s="252"/>
      <c r="O54" s="436"/>
      <c r="P54" s="437"/>
      <c r="Q54" s="436"/>
      <c r="R54" s="436"/>
    </row>
    <row r="55" spans="1:18" ht="40.5" x14ac:dyDescent="0.2">
      <c r="A55" s="217" t="s">
        <v>108</v>
      </c>
      <c r="B55" s="147" t="s">
        <v>33</v>
      </c>
      <c r="C55" s="421" t="e">
        <f>#REF!</f>
        <v>#REF!</v>
      </c>
      <c r="D55" s="252" t="e">
        <f>#REF!</f>
        <v>#REF!</v>
      </c>
      <c r="E55" s="421" t="e">
        <f>#REF!</f>
        <v>#REF!</v>
      </c>
      <c r="F55" s="422" t="e">
        <f>#REF!</f>
        <v>#REF!</v>
      </c>
      <c r="G55" s="160" t="e">
        <f t="shared" si="8"/>
        <v>#REF!</v>
      </c>
      <c r="H55" s="423" t="e">
        <f>#REF!</f>
        <v>#REF!</v>
      </c>
      <c r="I55" s="423" t="e">
        <f>#REF!</f>
        <v>#REF!</v>
      </c>
      <c r="J55" s="160" t="e">
        <f t="shared" si="9"/>
        <v>#REF!</v>
      </c>
      <c r="K55" s="451" t="e">
        <f>#REF!</f>
        <v>#REF!</v>
      </c>
      <c r="L55" s="421" t="e">
        <f>#REF!</f>
        <v>#REF!</v>
      </c>
      <c r="M55" s="435" t="e">
        <f t="shared" si="10"/>
        <v>#REF!</v>
      </c>
      <c r="N55" s="252" t="e">
        <f t="shared" si="11"/>
        <v>#REF!</v>
      </c>
      <c r="O55" s="436" t="e">
        <f>N55*I55*$D$76*$D$78/1000</f>
        <v>#REF!</v>
      </c>
      <c r="P55" s="437" t="e">
        <f>I55-#REF!</f>
        <v>#REF!</v>
      </c>
      <c r="Q55" s="436">
        <v>-308697</v>
      </c>
      <c r="R55" s="436" t="e">
        <f t="shared" ref="R55:R61" si="14">M55-O55-Q55</f>
        <v>#REF!</v>
      </c>
    </row>
    <row r="56" spans="1:18" hidden="1" x14ac:dyDescent="0.2">
      <c r="A56" s="254" t="s">
        <v>369</v>
      </c>
      <c r="B56" s="188"/>
      <c r="C56" s="421" t="e">
        <f>#REF!</f>
        <v>#REF!</v>
      </c>
      <c r="D56" s="252" t="e">
        <f>#REF!</f>
        <v>#REF!</v>
      </c>
      <c r="E56" s="421" t="e">
        <f>#REF!</f>
        <v>#REF!</v>
      </c>
      <c r="F56" s="422" t="e">
        <f>#REF!</f>
        <v>#REF!</v>
      </c>
      <c r="G56" s="160" t="e">
        <f t="shared" si="8"/>
        <v>#REF!</v>
      </c>
      <c r="H56" s="423" t="e">
        <f>#REF!</f>
        <v>#REF!</v>
      </c>
      <c r="I56" s="423" t="e">
        <f>#REF!</f>
        <v>#REF!</v>
      </c>
      <c r="J56" s="160" t="e">
        <f t="shared" si="9"/>
        <v>#REF!</v>
      </c>
      <c r="K56" s="421" t="e">
        <f>#REF!</f>
        <v>#REF!</v>
      </c>
      <c r="L56" s="421" t="e">
        <f>#REF!</f>
        <v>#REF!</v>
      </c>
      <c r="M56" s="435" t="e">
        <f t="shared" si="10"/>
        <v>#REF!</v>
      </c>
      <c r="N56" s="252" t="e">
        <f t="shared" si="11"/>
        <v>#REF!</v>
      </c>
      <c r="O56" s="436" t="e">
        <f t="shared" ref="O56:O73" si="15">N56*I56*$D$76*$D$78/1000</f>
        <v>#REF!</v>
      </c>
      <c r="P56" s="437" t="e">
        <f>I56-#REF!</f>
        <v>#REF!</v>
      </c>
      <c r="Q56" s="436" t="e">
        <f t="shared" ref="Q56:Q61" si="16">P56*F56*$D$76*$D$78/1000</f>
        <v>#REF!</v>
      </c>
      <c r="R56" s="436" t="e">
        <f t="shared" si="14"/>
        <v>#REF!</v>
      </c>
    </row>
    <row r="57" spans="1:18" ht="40.5" hidden="1" x14ac:dyDescent="0.2">
      <c r="A57" s="219" t="s">
        <v>109</v>
      </c>
      <c r="B57" s="188" t="s">
        <v>33</v>
      </c>
      <c r="C57" s="421" t="e">
        <f>#REF!</f>
        <v>#REF!</v>
      </c>
      <c r="D57" s="252" t="e">
        <f>#REF!</f>
        <v>#REF!</v>
      </c>
      <c r="E57" s="421" t="e">
        <f>#REF!</f>
        <v>#REF!</v>
      </c>
      <c r="F57" s="422" t="e">
        <f>#REF!</f>
        <v>#REF!</v>
      </c>
      <c r="G57" s="160" t="e">
        <f t="shared" si="8"/>
        <v>#REF!</v>
      </c>
      <c r="H57" s="423" t="e">
        <f>#REF!</f>
        <v>#REF!</v>
      </c>
      <c r="I57" s="423" t="e">
        <f>#REF!</f>
        <v>#REF!</v>
      </c>
      <c r="J57" s="160" t="e">
        <f t="shared" si="9"/>
        <v>#REF!</v>
      </c>
      <c r="K57" s="421" t="e">
        <f>#REF!</f>
        <v>#REF!</v>
      </c>
      <c r="L57" s="421" t="e">
        <f>#REF!</f>
        <v>#REF!</v>
      </c>
      <c r="M57" s="435" t="e">
        <f t="shared" si="10"/>
        <v>#REF!</v>
      </c>
      <c r="N57" s="252" t="e">
        <f t="shared" si="11"/>
        <v>#REF!</v>
      </c>
      <c r="O57" s="436" t="e">
        <f t="shared" si="15"/>
        <v>#REF!</v>
      </c>
      <c r="P57" s="437" t="e">
        <f>I57-#REF!</f>
        <v>#REF!</v>
      </c>
      <c r="Q57" s="436" t="e">
        <f t="shared" si="16"/>
        <v>#REF!</v>
      </c>
      <c r="R57" s="436" t="e">
        <f t="shared" si="14"/>
        <v>#REF!</v>
      </c>
    </row>
    <row r="58" spans="1:18" ht="40.5" hidden="1" x14ac:dyDescent="0.2">
      <c r="A58" s="254" t="s">
        <v>370</v>
      </c>
      <c r="B58" s="188"/>
      <c r="C58" s="421" t="e">
        <f>#REF!</f>
        <v>#REF!</v>
      </c>
      <c r="D58" s="252" t="e">
        <f>#REF!</f>
        <v>#REF!</v>
      </c>
      <c r="E58" s="421" t="e">
        <f>#REF!</f>
        <v>#REF!</v>
      </c>
      <c r="F58" s="422" t="e">
        <f>#REF!</f>
        <v>#REF!</v>
      </c>
      <c r="G58" s="160" t="e">
        <f t="shared" si="8"/>
        <v>#REF!</v>
      </c>
      <c r="H58" s="423" t="e">
        <f>#REF!</f>
        <v>#REF!</v>
      </c>
      <c r="I58" s="423" t="e">
        <f>#REF!</f>
        <v>#REF!</v>
      </c>
      <c r="J58" s="160" t="e">
        <f t="shared" si="9"/>
        <v>#REF!</v>
      </c>
      <c r="K58" s="421" t="e">
        <f>#REF!</f>
        <v>#REF!</v>
      </c>
      <c r="L58" s="421" t="e">
        <f>#REF!</f>
        <v>#REF!</v>
      </c>
      <c r="M58" s="435" t="e">
        <f t="shared" si="10"/>
        <v>#REF!</v>
      </c>
      <c r="N58" s="252" t="e">
        <f t="shared" si="11"/>
        <v>#REF!</v>
      </c>
      <c r="O58" s="436" t="e">
        <f t="shared" si="15"/>
        <v>#REF!</v>
      </c>
      <c r="P58" s="437" t="e">
        <f>I58-#REF!</f>
        <v>#REF!</v>
      </c>
      <c r="Q58" s="436" t="e">
        <f t="shared" si="16"/>
        <v>#REF!</v>
      </c>
      <c r="R58" s="436" t="e">
        <f t="shared" si="14"/>
        <v>#REF!</v>
      </c>
    </row>
    <row r="59" spans="1:18" hidden="1" x14ac:dyDescent="0.2">
      <c r="A59" s="255" t="s">
        <v>127</v>
      </c>
      <c r="B59" s="188" t="s">
        <v>33</v>
      </c>
      <c r="C59" s="421" t="e">
        <f>#REF!</f>
        <v>#REF!</v>
      </c>
      <c r="D59" s="252" t="e">
        <f>#REF!</f>
        <v>#REF!</v>
      </c>
      <c r="E59" s="421" t="e">
        <f>#REF!</f>
        <v>#REF!</v>
      </c>
      <c r="F59" s="422" t="e">
        <f>#REF!</f>
        <v>#REF!</v>
      </c>
      <c r="G59" s="160" t="e">
        <f t="shared" si="8"/>
        <v>#REF!</v>
      </c>
      <c r="H59" s="423" t="e">
        <f>#REF!</f>
        <v>#REF!</v>
      </c>
      <c r="I59" s="423" t="e">
        <f>#REF!</f>
        <v>#REF!</v>
      </c>
      <c r="J59" s="160" t="e">
        <f t="shared" si="9"/>
        <v>#REF!</v>
      </c>
      <c r="K59" s="421" t="e">
        <f>#REF!</f>
        <v>#REF!</v>
      </c>
      <c r="L59" s="421" t="e">
        <f>#REF!</f>
        <v>#REF!</v>
      </c>
      <c r="M59" s="435" t="e">
        <f t="shared" si="10"/>
        <v>#REF!</v>
      </c>
      <c r="N59" s="252" t="e">
        <f t="shared" si="11"/>
        <v>#REF!</v>
      </c>
      <c r="O59" s="436" t="e">
        <f t="shared" si="15"/>
        <v>#REF!</v>
      </c>
      <c r="P59" s="437" t="e">
        <f>I59-#REF!</f>
        <v>#REF!</v>
      </c>
      <c r="Q59" s="436" t="e">
        <f t="shared" si="16"/>
        <v>#REF!</v>
      </c>
      <c r="R59" s="436" t="e">
        <f t="shared" si="14"/>
        <v>#REF!</v>
      </c>
    </row>
    <row r="60" spans="1:18" hidden="1" x14ac:dyDescent="0.2">
      <c r="A60" s="254" t="s">
        <v>108</v>
      </c>
      <c r="B60" s="188" t="s">
        <v>33</v>
      </c>
      <c r="C60" s="421" t="e">
        <f>#REF!</f>
        <v>#REF!</v>
      </c>
      <c r="D60" s="252" t="e">
        <f>#REF!</f>
        <v>#REF!</v>
      </c>
      <c r="E60" s="421" t="e">
        <f>#REF!</f>
        <v>#REF!</v>
      </c>
      <c r="F60" s="422" t="e">
        <f>#REF!</f>
        <v>#REF!</v>
      </c>
      <c r="G60" s="160" t="e">
        <f t="shared" si="8"/>
        <v>#REF!</v>
      </c>
      <c r="H60" s="423" t="e">
        <f>#REF!</f>
        <v>#REF!</v>
      </c>
      <c r="I60" s="423" t="e">
        <f>#REF!</f>
        <v>#REF!</v>
      </c>
      <c r="J60" s="160" t="e">
        <f t="shared" si="9"/>
        <v>#REF!</v>
      </c>
      <c r="K60" s="421" t="e">
        <f>#REF!</f>
        <v>#REF!</v>
      </c>
      <c r="L60" s="421" t="e">
        <f>#REF!</f>
        <v>#REF!</v>
      </c>
      <c r="M60" s="435" t="e">
        <f t="shared" si="10"/>
        <v>#REF!</v>
      </c>
      <c r="N60" s="252" t="e">
        <f t="shared" si="11"/>
        <v>#REF!</v>
      </c>
      <c r="O60" s="436" t="e">
        <f t="shared" si="15"/>
        <v>#REF!</v>
      </c>
      <c r="P60" s="437" t="e">
        <f>I60-#REF!</f>
        <v>#REF!</v>
      </c>
      <c r="Q60" s="436" t="e">
        <f t="shared" si="16"/>
        <v>#REF!</v>
      </c>
      <c r="R60" s="436" t="e">
        <f t="shared" si="14"/>
        <v>#REF!</v>
      </c>
    </row>
    <row r="61" spans="1:18" ht="40.5" hidden="1" x14ac:dyDescent="0.2">
      <c r="A61" s="254" t="s">
        <v>109</v>
      </c>
      <c r="B61" s="188" t="s">
        <v>33</v>
      </c>
      <c r="C61" s="421" t="e">
        <f>#REF!</f>
        <v>#REF!</v>
      </c>
      <c r="D61" s="252" t="e">
        <f>#REF!</f>
        <v>#REF!</v>
      </c>
      <c r="E61" s="421" t="e">
        <f>#REF!</f>
        <v>#REF!</v>
      </c>
      <c r="F61" s="422" t="e">
        <f>#REF!</f>
        <v>#REF!</v>
      </c>
      <c r="G61" s="160" t="e">
        <f t="shared" si="8"/>
        <v>#REF!</v>
      </c>
      <c r="H61" s="423" t="e">
        <f>#REF!</f>
        <v>#REF!</v>
      </c>
      <c r="I61" s="423" t="e">
        <f>#REF!</f>
        <v>#REF!</v>
      </c>
      <c r="J61" s="160" t="e">
        <f t="shared" si="9"/>
        <v>#REF!</v>
      </c>
      <c r="K61" s="421" t="e">
        <f>#REF!</f>
        <v>#REF!</v>
      </c>
      <c r="L61" s="421" t="e">
        <f>#REF!</f>
        <v>#REF!</v>
      </c>
      <c r="M61" s="435" t="e">
        <f t="shared" si="10"/>
        <v>#REF!</v>
      </c>
      <c r="N61" s="252" t="e">
        <f t="shared" si="11"/>
        <v>#REF!</v>
      </c>
      <c r="O61" s="436" t="e">
        <f t="shared" si="15"/>
        <v>#REF!</v>
      </c>
      <c r="P61" s="437" t="e">
        <f>I61-#REF!</f>
        <v>#REF!</v>
      </c>
      <c r="Q61" s="436" t="e">
        <f t="shared" si="16"/>
        <v>#REF!</v>
      </c>
      <c r="R61" s="436" t="e">
        <f t="shared" si="14"/>
        <v>#REF!</v>
      </c>
    </row>
    <row r="62" spans="1:18" hidden="1" x14ac:dyDescent="0.2">
      <c r="A62" s="217" t="s">
        <v>448</v>
      </c>
      <c r="B62" s="188" t="s">
        <v>33</v>
      </c>
      <c r="C62" s="421"/>
      <c r="D62" s="252"/>
      <c r="E62" s="421"/>
      <c r="F62" s="422"/>
      <c r="G62" s="160" t="e">
        <f t="shared" si="8"/>
        <v>#DIV/0!</v>
      </c>
      <c r="H62" s="423"/>
      <c r="I62" s="423"/>
      <c r="J62" s="160" t="e">
        <f t="shared" si="9"/>
        <v>#DIV/0!</v>
      </c>
      <c r="K62" s="421"/>
      <c r="L62" s="421"/>
      <c r="M62" s="435">
        <f t="shared" si="10"/>
        <v>0</v>
      </c>
      <c r="N62" s="252">
        <f t="shared" si="11"/>
        <v>0</v>
      </c>
      <c r="O62" s="436">
        <f t="shared" si="15"/>
        <v>0</v>
      </c>
      <c r="P62" s="437"/>
      <c r="Q62" s="436"/>
      <c r="R62" s="436"/>
    </row>
    <row r="63" spans="1:18" hidden="1" x14ac:dyDescent="0.2">
      <c r="A63" s="235" t="s">
        <v>108</v>
      </c>
      <c r="B63" s="188" t="s">
        <v>33</v>
      </c>
      <c r="C63" s="421" t="e">
        <f>#REF!</f>
        <v>#REF!</v>
      </c>
      <c r="D63" s="252" t="e">
        <f>#REF!</f>
        <v>#REF!</v>
      </c>
      <c r="E63" s="421" t="e">
        <f>#REF!</f>
        <v>#REF!</v>
      </c>
      <c r="F63" s="422" t="e">
        <f>#REF!</f>
        <v>#REF!</v>
      </c>
      <c r="G63" s="160" t="e">
        <f t="shared" si="8"/>
        <v>#REF!</v>
      </c>
      <c r="H63" s="423" t="e">
        <f>#REF!</f>
        <v>#REF!</v>
      </c>
      <c r="I63" s="423" t="e">
        <f>#REF!</f>
        <v>#REF!</v>
      </c>
      <c r="J63" s="160" t="e">
        <f t="shared" si="9"/>
        <v>#REF!</v>
      </c>
      <c r="K63" s="421" t="e">
        <f>#REF!</f>
        <v>#REF!</v>
      </c>
      <c r="L63" s="421" t="e">
        <f>#REF!</f>
        <v>#REF!</v>
      </c>
      <c r="M63" s="435" t="e">
        <f t="shared" si="10"/>
        <v>#REF!</v>
      </c>
      <c r="N63" s="252" t="e">
        <f t="shared" si="11"/>
        <v>#REF!</v>
      </c>
      <c r="O63" s="436" t="e">
        <f t="shared" si="15"/>
        <v>#REF!</v>
      </c>
      <c r="P63" s="437" t="e">
        <f>I63-#REF!</f>
        <v>#REF!</v>
      </c>
      <c r="Q63" s="436" t="e">
        <f>P63*F63*$D$76*$D$78/1000</f>
        <v>#REF!</v>
      </c>
      <c r="R63" s="436" t="e">
        <f>M63-O63-Q63</f>
        <v>#REF!</v>
      </c>
    </row>
    <row r="64" spans="1:18" ht="41.25" hidden="1" thickBot="1" x14ac:dyDescent="0.25">
      <c r="A64" s="425" t="s">
        <v>109</v>
      </c>
      <c r="B64" t="s">
        <v>33</v>
      </c>
      <c r="C64" s="426" t="e">
        <f>#REF!</f>
        <v>#REF!</v>
      </c>
      <c r="D64" s="427" t="e">
        <f>#REF!</f>
        <v>#REF!</v>
      </c>
      <c r="E64" s="426" t="e">
        <f>#REF!</f>
        <v>#REF!</v>
      </c>
      <c r="F64" s="428" t="e">
        <f>#REF!</f>
        <v>#REF!</v>
      </c>
      <c r="G64" s="160" t="e">
        <f t="shared" si="8"/>
        <v>#REF!</v>
      </c>
      <c r="H64" s="429" t="e">
        <f>#REF!</f>
        <v>#REF!</v>
      </c>
      <c r="I64" s="429" t="e">
        <f>#REF!</f>
        <v>#REF!</v>
      </c>
      <c r="J64" s="160" t="e">
        <f t="shared" si="9"/>
        <v>#REF!</v>
      </c>
      <c r="K64" s="430" t="e">
        <f>#REF!</f>
        <v>#REF!</v>
      </c>
      <c r="L64" s="430" t="e">
        <f>#REF!</f>
        <v>#REF!</v>
      </c>
      <c r="M64" s="435" t="e">
        <f t="shared" si="10"/>
        <v>#REF!</v>
      </c>
      <c r="N64" s="252" t="e">
        <f t="shared" si="11"/>
        <v>#REF!</v>
      </c>
      <c r="O64" s="436" t="e">
        <f t="shared" si="15"/>
        <v>#REF!</v>
      </c>
      <c r="P64" s="433" t="e">
        <f>I64-#REF!</f>
        <v>#REF!</v>
      </c>
      <c r="Q64" s="432" t="e">
        <f t="shared" ref="Q64:Q72" si="17">P64*F64*$D$76*$D$78*$A$81/1000</f>
        <v>#REF!</v>
      </c>
      <c r="R64" s="432"/>
    </row>
    <row r="65" spans="1:18" ht="21" hidden="1" thickBot="1" x14ac:dyDescent="0.25">
      <c r="A65" s="253" t="s">
        <v>113</v>
      </c>
      <c r="B65" t="s">
        <v>125</v>
      </c>
      <c r="C65" s="421" t="e">
        <f>#REF!</f>
        <v>#REF!</v>
      </c>
      <c r="D65" s="252" t="e">
        <f>#REF!</f>
        <v>#REF!</v>
      </c>
      <c r="E65" s="421" t="e">
        <f>#REF!</f>
        <v>#REF!</v>
      </c>
      <c r="F65" s="422" t="e">
        <f>#REF!</f>
        <v>#REF!</v>
      </c>
      <c r="G65" s="160" t="e">
        <f t="shared" si="8"/>
        <v>#REF!</v>
      </c>
      <c r="H65" s="423" t="e">
        <f>#REF!</f>
        <v>#REF!</v>
      </c>
      <c r="I65" s="423" t="e">
        <f>#REF!</f>
        <v>#REF!</v>
      </c>
      <c r="J65" s="160" t="e">
        <f t="shared" si="9"/>
        <v>#REF!</v>
      </c>
      <c r="K65" s="424" t="e">
        <f>#REF!</f>
        <v>#REF!</v>
      </c>
      <c r="L65" s="424" t="e">
        <f>#REF!</f>
        <v>#REF!</v>
      </c>
      <c r="M65" s="435" t="e">
        <f t="shared" si="10"/>
        <v>#REF!</v>
      </c>
      <c r="N65" s="252" t="e">
        <f t="shared" si="11"/>
        <v>#REF!</v>
      </c>
      <c r="O65" s="436" t="e">
        <f t="shared" si="15"/>
        <v>#REF!</v>
      </c>
      <c r="P65" s="433" t="e">
        <f>I65-#REF!</f>
        <v>#REF!</v>
      </c>
      <c r="Q65" s="432" t="e">
        <f t="shared" si="17"/>
        <v>#REF!</v>
      </c>
      <c r="R65" s="432"/>
    </row>
    <row r="66" spans="1:18" ht="21" hidden="1" thickBot="1" x14ac:dyDescent="0.25">
      <c r="A66" s="253" t="s">
        <v>114</v>
      </c>
      <c r="B66" t="s">
        <v>15</v>
      </c>
      <c r="C66" s="421" t="e">
        <f>#REF!</f>
        <v>#REF!</v>
      </c>
      <c r="D66" s="252" t="e">
        <f>#REF!</f>
        <v>#REF!</v>
      </c>
      <c r="E66" s="421" t="e">
        <f>#REF!</f>
        <v>#REF!</v>
      </c>
      <c r="F66" s="422" t="e">
        <f>#REF!</f>
        <v>#REF!</v>
      </c>
      <c r="G66" s="160" t="e">
        <f t="shared" si="8"/>
        <v>#REF!</v>
      </c>
      <c r="H66" s="423" t="e">
        <f>#REF!</f>
        <v>#REF!</v>
      </c>
      <c r="I66" s="423" t="e">
        <f>#REF!</f>
        <v>#REF!</v>
      </c>
      <c r="J66" s="160" t="e">
        <f t="shared" si="9"/>
        <v>#REF!</v>
      </c>
      <c r="K66" s="424" t="e">
        <f>#REF!</f>
        <v>#REF!</v>
      </c>
      <c r="L66" s="424" t="e">
        <f>#REF!</f>
        <v>#REF!</v>
      </c>
      <c r="M66" s="435" t="e">
        <f t="shared" si="10"/>
        <v>#REF!</v>
      </c>
      <c r="N66" s="252" t="e">
        <f t="shared" si="11"/>
        <v>#REF!</v>
      </c>
      <c r="O66" s="436" t="e">
        <f t="shared" si="15"/>
        <v>#REF!</v>
      </c>
      <c r="P66" s="433" t="e">
        <f>I66-#REF!</f>
        <v>#REF!</v>
      </c>
      <c r="Q66" s="432" t="e">
        <f t="shared" si="17"/>
        <v>#REF!</v>
      </c>
      <c r="R66" s="432"/>
    </row>
    <row r="67" spans="1:18" ht="61.5" hidden="1" thickBot="1" x14ac:dyDescent="0.25">
      <c r="A67" s="253" t="s">
        <v>115</v>
      </c>
      <c r="B67" t="s">
        <v>39</v>
      </c>
      <c r="C67" s="421" t="e">
        <f>#REF!</f>
        <v>#REF!</v>
      </c>
      <c r="D67" s="252" t="e">
        <f>#REF!</f>
        <v>#REF!</v>
      </c>
      <c r="E67" s="421" t="e">
        <f>#REF!</f>
        <v>#REF!</v>
      </c>
      <c r="F67" s="422" t="e">
        <f>#REF!</f>
        <v>#REF!</v>
      </c>
      <c r="G67" s="160" t="e">
        <f t="shared" si="8"/>
        <v>#REF!</v>
      </c>
      <c r="H67" s="423" t="e">
        <f>#REF!</f>
        <v>#REF!</v>
      </c>
      <c r="I67" s="423" t="e">
        <f>#REF!</f>
        <v>#REF!</v>
      </c>
      <c r="J67" s="160" t="e">
        <f t="shared" si="9"/>
        <v>#REF!</v>
      </c>
      <c r="K67" s="424" t="e">
        <f>#REF!</f>
        <v>#REF!</v>
      </c>
      <c r="L67" s="424" t="e">
        <f>#REF!</f>
        <v>#REF!</v>
      </c>
      <c r="M67" s="435" t="e">
        <f t="shared" si="10"/>
        <v>#REF!</v>
      </c>
      <c r="N67" s="252" t="e">
        <f t="shared" si="11"/>
        <v>#REF!</v>
      </c>
      <c r="O67" s="436" t="e">
        <f t="shared" si="15"/>
        <v>#REF!</v>
      </c>
      <c r="P67" s="433" t="e">
        <f>I67-#REF!</f>
        <v>#REF!</v>
      </c>
      <c r="Q67" s="432" t="e">
        <f t="shared" si="17"/>
        <v>#REF!</v>
      </c>
      <c r="R67" s="432"/>
    </row>
    <row r="68" spans="1:18" ht="21" hidden="1" thickBot="1" x14ac:dyDescent="0.25">
      <c r="A68" s="218" t="s">
        <v>108</v>
      </c>
      <c r="B68" t="s">
        <v>39</v>
      </c>
      <c r="C68" s="421" t="e">
        <f>#REF!</f>
        <v>#REF!</v>
      </c>
      <c r="D68" s="252" t="e">
        <f>#REF!</f>
        <v>#REF!</v>
      </c>
      <c r="E68" s="421" t="e">
        <f>#REF!</f>
        <v>#REF!</v>
      </c>
      <c r="F68" s="422" t="e">
        <f>#REF!</f>
        <v>#REF!</v>
      </c>
      <c r="G68" s="160" t="e">
        <f t="shared" si="8"/>
        <v>#REF!</v>
      </c>
      <c r="H68" s="423" t="e">
        <f>#REF!</f>
        <v>#REF!</v>
      </c>
      <c r="I68" s="423" t="e">
        <f>#REF!</f>
        <v>#REF!</v>
      </c>
      <c r="J68" s="160" t="e">
        <f t="shared" si="9"/>
        <v>#REF!</v>
      </c>
      <c r="K68" s="424" t="e">
        <f>#REF!</f>
        <v>#REF!</v>
      </c>
      <c r="L68" s="424" t="e">
        <f>#REF!</f>
        <v>#REF!</v>
      </c>
      <c r="M68" s="435" t="e">
        <f t="shared" si="10"/>
        <v>#REF!</v>
      </c>
      <c r="N68" s="252" t="e">
        <f t="shared" si="11"/>
        <v>#REF!</v>
      </c>
      <c r="O68" s="436" t="e">
        <f t="shared" si="15"/>
        <v>#REF!</v>
      </c>
      <c r="P68" s="433" t="e">
        <f>I68-#REF!</f>
        <v>#REF!</v>
      </c>
      <c r="Q68" s="432" t="e">
        <f t="shared" si="17"/>
        <v>#REF!</v>
      </c>
      <c r="R68" s="432"/>
    </row>
    <row r="69" spans="1:18" ht="41.25" hidden="1" thickBot="1" x14ac:dyDescent="0.25">
      <c r="A69" s="218" t="s">
        <v>109</v>
      </c>
      <c r="B69" t="s">
        <v>39</v>
      </c>
      <c r="C69" s="421" t="e">
        <f>#REF!</f>
        <v>#REF!</v>
      </c>
      <c r="D69" s="252" t="e">
        <f>#REF!</f>
        <v>#REF!</v>
      </c>
      <c r="E69" s="421" t="e">
        <f>#REF!</f>
        <v>#REF!</v>
      </c>
      <c r="F69" s="422" t="e">
        <f>#REF!</f>
        <v>#REF!</v>
      </c>
      <c r="G69" s="160" t="e">
        <f t="shared" si="8"/>
        <v>#REF!</v>
      </c>
      <c r="H69" s="423" t="e">
        <f>#REF!</f>
        <v>#REF!</v>
      </c>
      <c r="I69" s="423" t="e">
        <f>#REF!</f>
        <v>#REF!</v>
      </c>
      <c r="J69" s="160" t="e">
        <f t="shared" si="9"/>
        <v>#REF!</v>
      </c>
      <c r="K69" s="424" t="e">
        <f>#REF!</f>
        <v>#REF!</v>
      </c>
      <c r="L69" s="424" t="e">
        <f>#REF!</f>
        <v>#REF!</v>
      </c>
      <c r="M69" s="435" t="e">
        <f t="shared" si="10"/>
        <v>#REF!</v>
      </c>
      <c r="N69" s="252" t="e">
        <f t="shared" si="11"/>
        <v>#REF!</v>
      </c>
      <c r="O69" s="436" t="e">
        <f t="shared" si="15"/>
        <v>#REF!</v>
      </c>
      <c r="P69" s="433" t="e">
        <f>I69-#REF!</f>
        <v>#REF!</v>
      </c>
      <c r="Q69" s="432" t="e">
        <f t="shared" si="17"/>
        <v>#REF!</v>
      </c>
      <c r="R69" s="432"/>
    </row>
    <row r="70" spans="1:18" ht="81.75" hidden="1" thickBot="1" x14ac:dyDescent="0.25">
      <c r="A70" s="256" t="s">
        <v>449</v>
      </c>
      <c r="B70" t="s">
        <v>33</v>
      </c>
      <c r="C70" s="421" t="e">
        <f>#REF!</f>
        <v>#REF!</v>
      </c>
      <c r="D70" s="252" t="e">
        <f>#REF!</f>
        <v>#REF!</v>
      </c>
      <c r="E70" s="421" t="e">
        <f>#REF!</f>
        <v>#REF!</v>
      </c>
      <c r="F70" s="422" t="e">
        <f>#REF!</f>
        <v>#REF!</v>
      </c>
      <c r="G70" s="160" t="e">
        <f t="shared" si="8"/>
        <v>#REF!</v>
      </c>
      <c r="H70" s="423" t="e">
        <f>#REF!</f>
        <v>#REF!</v>
      </c>
      <c r="I70" s="423" t="e">
        <f>#REF!</f>
        <v>#REF!</v>
      </c>
      <c r="J70" s="160" t="e">
        <f t="shared" si="9"/>
        <v>#REF!</v>
      </c>
      <c r="K70" s="424" t="e">
        <f>#REF!</f>
        <v>#REF!</v>
      </c>
      <c r="L70" s="424" t="e">
        <f>#REF!</f>
        <v>#REF!</v>
      </c>
      <c r="M70" s="435" t="e">
        <f t="shared" si="10"/>
        <v>#REF!</v>
      </c>
      <c r="N70" s="252" t="e">
        <f t="shared" si="11"/>
        <v>#REF!</v>
      </c>
      <c r="O70" s="436" t="e">
        <f t="shared" si="15"/>
        <v>#REF!</v>
      </c>
      <c r="P70" s="433" t="e">
        <f>I70-#REF!</f>
        <v>#REF!</v>
      </c>
      <c r="Q70" s="432" t="e">
        <f t="shared" si="17"/>
        <v>#REF!</v>
      </c>
      <c r="R70" s="432"/>
    </row>
    <row r="71" spans="1:18" ht="21" hidden="1" thickBot="1" x14ac:dyDescent="0.25">
      <c r="A71" s="218" t="s">
        <v>108</v>
      </c>
      <c r="B71" t="s">
        <v>33</v>
      </c>
      <c r="C71" s="421" t="e">
        <f>#REF!</f>
        <v>#REF!</v>
      </c>
      <c r="D71" s="252" t="e">
        <f>#REF!</f>
        <v>#REF!</v>
      </c>
      <c r="E71" s="421" t="e">
        <f>#REF!</f>
        <v>#REF!</v>
      </c>
      <c r="F71" s="422" t="e">
        <f>#REF!</f>
        <v>#REF!</v>
      </c>
      <c r="G71" s="160" t="e">
        <f t="shared" si="8"/>
        <v>#REF!</v>
      </c>
      <c r="H71" s="423" t="e">
        <f>#REF!</f>
        <v>#REF!</v>
      </c>
      <c r="I71" s="423" t="e">
        <f>#REF!</f>
        <v>#REF!</v>
      </c>
      <c r="J71" s="160" t="e">
        <f t="shared" si="9"/>
        <v>#REF!</v>
      </c>
      <c r="K71" s="424" t="e">
        <f>#REF!</f>
        <v>#REF!</v>
      </c>
      <c r="L71" s="424" t="e">
        <f>#REF!</f>
        <v>#REF!</v>
      </c>
      <c r="M71" s="435" t="e">
        <f t="shared" si="10"/>
        <v>#REF!</v>
      </c>
      <c r="N71" s="252" t="e">
        <f t="shared" si="11"/>
        <v>#REF!</v>
      </c>
      <c r="O71" s="436" t="e">
        <f t="shared" si="15"/>
        <v>#REF!</v>
      </c>
      <c r="P71" s="433" t="e">
        <f>I71-#REF!</f>
        <v>#REF!</v>
      </c>
      <c r="Q71" s="432" t="e">
        <f t="shared" si="17"/>
        <v>#REF!</v>
      </c>
      <c r="R71" s="432"/>
    </row>
    <row r="72" spans="1:18" ht="41.25" hidden="1" thickBot="1" x14ac:dyDescent="0.25">
      <c r="A72" s="218" t="s">
        <v>109</v>
      </c>
      <c r="B72" t="s">
        <v>33</v>
      </c>
      <c r="C72" s="421" t="e">
        <f>#REF!</f>
        <v>#REF!</v>
      </c>
      <c r="D72" s="252" t="e">
        <f>#REF!</f>
        <v>#REF!</v>
      </c>
      <c r="E72" s="421" t="e">
        <f>#REF!</f>
        <v>#REF!</v>
      </c>
      <c r="F72" s="422" t="e">
        <f>#REF!</f>
        <v>#REF!</v>
      </c>
      <c r="G72" s="160" t="e">
        <f t="shared" si="8"/>
        <v>#REF!</v>
      </c>
      <c r="H72" s="423" t="e">
        <f>#REF!</f>
        <v>#REF!</v>
      </c>
      <c r="I72" s="423" t="e">
        <f>#REF!</f>
        <v>#REF!</v>
      </c>
      <c r="J72" s="160" t="e">
        <f t="shared" si="9"/>
        <v>#REF!</v>
      </c>
      <c r="K72" s="424" t="e">
        <f>#REF!</f>
        <v>#REF!</v>
      </c>
      <c r="L72" s="424" t="e">
        <f>#REF!</f>
        <v>#REF!</v>
      </c>
      <c r="M72" s="435" t="e">
        <f t="shared" si="10"/>
        <v>#REF!</v>
      </c>
      <c r="N72" s="252" t="e">
        <f t="shared" si="11"/>
        <v>#REF!</v>
      </c>
      <c r="O72" s="436" t="e">
        <f t="shared" si="15"/>
        <v>#REF!</v>
      </c>
      <c r="P72" s="433" t="e">
        <f>I72-#REF!</f>
        <v>#REF!</v>
      </c>
      <c r="Q72" s="432" t="e">
        <f t="shared" si="17"/>
        <v>#REF!</v>
      </c>
      <c r="R72" s="432"/>
    </row>
    <row r="73" spans="1:18" ht="40.5" x14ac:dyDescent="0.2">
      <c r="A73" s="253" t="s">
        <v>521</v>
      </c>
      <c r="B73" s="147" t="s">
        <v>39</v>
      </c>
      <c r="C73" s="421" t="e">
        <f>#REF!</f>
        <v>#REF!</v>
      </c>
      <c r="D73" s="252" t="e">
        <f>#REF!</f>
        <v>#REF!</v>
      </c>
      <c r="E73" s="421" t="e">
        <f>#REF!</f>
        <v>#REF!</v>
      </c>
      <c r="F73" s="422" t="e">
        <f>#REF!</f>
        <v>#REF!</v>
      </c>
      <c r="G73" s="160" t="e">
        <f t="shared" si="8"/>
        <v>#REF!</v>
      </c>
      <c r="H73" s="423" t="e">
        <f>#REF!</f>
        <v>#REF!</v>
      </c>
      <c r="I73" s="423" t="e">
        <f>#REF!</f>
        <v>#REF!</v>
      </c>
      <c r="J73" s="160" t="e">
        <f t="shared" si="9"/>
        <v>#REF!</v>
      </c>
      <c r="K73" s="421" t="e">
        <f>#REF!</f>
        <v>#REF!</v>
      </c>
      <c r="L73" s="421" t="e">
        <f>#REF!</f>
        <v>#REF!</v>
      </c>
      <c r="M73" s="435" t="e">
        <f t="shared" si="10"/>
        <v>#REF!</v>
      </c>
      <c r="N73" s="252" t="e">
        <f t="shared" si="11"/>
        <v>#REF!</v>
      </c>
      <c r="O73" s="436" t="e">
        <f t="shared" si="15"/>
        <v>#REF!</v>
      </c>
      <c r="P73" s="437" t="e">
        <f>I73-#REF!</f>
        <v>#REF!</v>
      </c>
      <c r="Q73" s="436" t="e">
        <f>P73*F73*$D$76*$D$78/1000</f>
        <v>#REF!</v>
      </c>
      <c r="R73" s="436" t="e">
        <f>M73-O73-Q73</f>
        <v>#REF!</v>
      </c>
    </row>
    <row r="75" spans="1:18" x14ac:dyDescent="0.3">
      <c r="A75" s="133"/>
      <c r="B75" s="133">
        <v>2021</v>
      </c>
      <c r="C75" s="133">
        <v>2022</v>
      </c>
      <c r="D75" s="133">
        <v>2023</v>
      </c>
      <c r="F75" s="1577" t="s">
        <v>289</v>
      </c>
      <c r="G75" s="1578"/>
      <c r="H75" s="1578"/>
      <c r="I75" s="1579"/>
    </row>
    <row r="76" spans="1:18" ht="37.5" x14ac:dyDescent="0.3">
      <c r="A76" s="133" t="s">
        <v>122</v>
      </c>
      <c r="B76" s="141">
        <v>145483637</v>
      </c>
      <c r="C76" s="141">
        <v>145065530</v>
      </c>
      <c r="D76" s="142">
        <v>144155234</v>
      </c>
      <c r="F76" s="449"/>
      <c r="G76" s="450" t="s">
        <v>288</v>
      </c>
      <c r="H76" s="450" t="s">
        <v>277</v>
      </c>
      <c r="I76" s="450" t="s">
        <v>279</v>
      </c>
    </row>
    <row r="77" spans="1:18" ht="37.5" x14ac:dyDescent="0.3">
      <c r="A77" s="133"/>
      <c r="B77" s="141"/>
      <c r="C77" s="141"/>
      <c r="D77" s="142"/>
      <c r="F77" s="449" t="s">
        <v>285</v>
      </c>
      <c r="G77" s="468">
        <v>0.77044225125373333</v>
      </c>
      <c r="H77" s="468">
        <v>0.59898572804081629</v>
      </c>
      <c r="I77" s="468">
        <v>0.34172296639108701</v>
      </c>
    </row>
    <row r="78" spans="1:18" x14ac:dyDescent="0.3">
      <c r="A78" s="133" t="s">
        <v>374</v>
      </c>
      <c r="B78" s="143">
        <v>1.19661420414655</v>
      </c>
      <c r="C78" s="143">
        <v>1.2012733644884057</v>
      </c>
      <c r="D78" s="143">
        <v>1.1983525281704299</v>
      </c>
      <c r="F78" s="449" t="s">
        <v>286</v>
      </c>
      <c r="G78" s="468">
        <v>0.22955774874626667</v>
      </c>
      <c r="H78" s="468">
        <v>0.40101427195918371</v>
      </c>
      <c r="I78" s="468">
        <v>0.65827703360891299</v>
      </c>
    </row>
    <row r="80" spans="1:18" ht="22.5" x14ac:dyDescent="0.2">
      <c r="A80" s="419" t="s">
        <v>450</v>
      </c>
    </row>
    <row r="81" spans="1:1" ht="22.5" x14ac:dyDescent="0.2">
      <c r="A81" s="419">
        <v>1.0072195473933441</v>
      </c>
    </row>
  </sheetData>
  <mergeCells count="9">
    <mergeCell ref="O3:R4"/>
    <mergeCell ref="F75:I75"/>
    <mergeCell ref="A1:R1"/>
    <mergeCell ref="A3:A5"/>
    <mergeCell ref="B3:B5"/>
    <mergeCell ref="C3:D4"/>
    <mergeCell ref="E3:G4"/>
    <mergeCell ref="H3:J4"/>
    <mergeCell ref="K3:M4"/>
  </mergeCells>
  <conditionalFormatting sqref="G7 G9:G73">
    <cfRule type="cellIs" dxfId="13" priority="7" operator="lessThan">
      <formula>0.5</formula>
    </cfRule>
    <cfRule type="cellIs" dxfId="12" priority="8" operator="greaterThan">
      <formula>0.5</formula>
    </cfRule>
    <cfRule type="cellIs" dxfId="11" priority="9" operator="greaterThan">
      <formula>50</formula>
    </cfRule>
  </conditionalFormatting>
  <conditionalFormatting sqref="J7 J9:J73">
    <cfRule type="cellIs" dxfId="10" priority="1" operator="lessThan">
      <formula>0.5</formula>
    </cfRule>
    <cfRule type="cellIs" dxfId="9" priority="2" operator="greaterThan">
      <formula>0.5</formula>
    </cfRule>
    <cfRule type="cellIs" dxfId="8" priority="3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F278-4739-4338-AC73-BFBA7D4B43A5}">
  <sheetPr>
    <pageSetUpPr fitToPage="1"/>
  </sheetPr>
  <dimension ref="A1:BD358"/>
  <sheetViews>
    <sheetView tabSelected="1" zoomScale="90" zoomScaleNormal="90" zoomScaleSheetLayoutView="85" workbookViewId="0">
      <pane ySplit="4" topLeftCell="A5" activePane="bottomLeft" state="frozen"/>
      <selection activeCell="G13" sqref="G13"/>
      <selection pane="bottomLeft" activeCell="T9" sqref="T9"/>
    </sheetView>
  </sheetViews>
  <sheetFormatPr defaultColWidth="9.140625" defaultRowHeight="18.75" x14ac:dyDescent="0.3"/>
  <cols>
    <col min="1" max="1" width="43.140625" style="789" customWidth="1"/>
    <col min="2" max="2" width="16.28515625" style="789" customWidth="1"/>
    <col min="3" max="3" width="14.28515625" style="789" customWidth="1"/>
    <col min="4" max="4" width="16.7109375" style="789" customWidth="1"/>
    <col min="5" max="5" width="15.85546875" style="789" hidden="1" customWidth="1"/>
    <col min="6" max="6" width="13.5703125" style="789" customWidth="1"/>
    <col min="7" max="7" width="16.7109375" style="789" customWidth="1"/>
    <col min="8" max="8" width="15.5703125" style="789" hidden="1" customWidth="1"/>
    <col min="9" max="9" width="14.140625" style="789" customWidth="1"/>
    <col min="10" max="10" width="16.28515625" style="789" customWidth="1"/>
    <col min="11" max="11" width="14.7109375" style="789" hidden="1" customWidth="1"/>
    <col min="12" max="12" width="14.85546875" style="789" hidden="1" customWidth="1"/>
    <col min="13" max="13" width="14.42578125" style="789" hidden="1" customWidth="1"/>
    <col min="14" max="14" width="12.5703125" style="789" hidden="1" customWidth="1"/>
    <col min="15" max="15" width="9.140625" style="789"/>
    <col min="16" max="16" width="14" style="1339" customWidth="1"/>
    <col min="17" max="17" width="2.42578125" style="789" customWidth="1"/>
    <col min="18" max="18" width="13.42578125" style="1343" customWidth="1"/>
    <col min="19" max="19" width="2.28515625" style="789" customWidth="1"/>
    <col min="20" max="20" width="9.140625" style="789"/>
    <col min="21" max="21" width="2.140625" style="789" customWidth="1"/>
    <col min="22" max="22" width="9.140625" style="1335"/>
    <col min="23" max="23" width="1.85546875" style="789" customWidth="1"/>
    <col min="24" max="24" width="12.85546875" style="1339" bestFit="1" customWidth="1"/>
    <col min="25" max="25" width="2.5703125" style="789" customWidth="1"/>
    <col min="26" max="26" width="10.140625" style="789" customWidth="1"/>
    <col min="27" max="27" width="2.28515625" style="789" customWidth="1"/>
    <col min="28" max="28" width="9.140625" style="789"/>
    <col min="29" max="29" width="1.85546875" style="789" customWidth="1"/>
    <col min="30" max="30" width="12.85546875" style="789" bestFit="1" customWidth="1"/>
    <col min="31" max="16384" width="9.140625" style="789"/>
  </cols>
  <sheetData>
    <row r="1" spans="1:30" ht="77.25" customHeight="1" x14ac:dyDescent="0.3">
      <c r="G1" s="1600" t="s">
        <v>810</v>
      </c>
      <c r="H1" s="1600"/>
      <c r="I1" s="1600"/>
      <c r="J1" s="1600"/>
      <c r="K1" s="828"/>
    </row>
    <row r="2" spans="1:30" ht="36" customHeight="1" x14ac:dyDescent="0.3">
      <c r="A2" s="1607" t="s">
        <v>811</v>
      </c>
      <c r="B2" s="1607"/>
      <c r="C2" s="1607"/>
      <c r="D2" s="1607"/>
      <c r="E2" s="1607"/>
      <c r="F2" s="1607"/>
      <c r="G2" s="1607"/>
      <c r="H2" s="1607"/>
      <c r="I2" s="1607"/>
      <c r="J2" s="1607"/>
      <c r="K2" s="1607"/>
    </row>
    <row r="3" spans="1:30" ht="21.75" customHeight="1" x14ac:dyDescent="0.3">
      <c r="A3" s="1611" t="s">
        <v>809</v>
      </c>
      <c r="B3" s="1611" t="s">
        <v>808</v>
      </c>
      <c r="C3" s="1613" t="s">
        <v>360</v>
      </c>
      <c r="D3" s="1613"/>
      <c r="E3" s="1613"/>
      <c r="F3" s="1613" t="s">
        <v>359</v>
      </c>
      <c r="G3" s="1613"/>
      <c r="H3" s="1613"/>
      <c r="I3" s="1613" t="s">
        <v>538</v>
      </c>
      <c r="J3" s="1613"/>
      <c r="K3" s="1613"/>
    </row>
    <row r="4" spans="1:30" ht="89.25" x14ac:dyDescent="0.3">
      <c r="A4" s="1611"/>
      <c r="B4" s="1611"/>
      <c r="C4" s="827" t="s">
        <v>805</v>
      </c>
      <c r="D4" s="827" t="s">
        <v>807</v>
      </c>
      <c r="E4" s="827" t="s">
        <v>803</v>
      </c>
      <c r="F4" s="827" t="s">
        <v>805</v>
      </c>
      <c r="G4" s="827" t="s">
        <v>806</v>
      </c>
      <c r="H4" s="827" t="s">
        <v>803</v>
      </c>
      <c r="I4" s="827" t="s">
        <v>805</v>
      </c>
      <c r="J4" s="827" t="s">
        <v>804</v>
      </c>
      <c r="K4" s="827" t="s">
        <v>803</v>
      </c>
      <c r="N4" s="826"/>
      <c r="AD4" s="1343"/>
    </row>
    <row r="5" spans="1:30" s="824" customFormat="1" ht="35.25" customHeight="1" x14ac:dyDescent="0.3">
      <c r="A5" s="1610" t="s">
        <v>802</v>
      </c>
      <c r="B5" s="1610"/>
      <c r="C5" s="1610"/>
      <c r="D5" s="1610"/>
      <c r="E5" s="1610"/>
      <c r="F5" s="1610"/>
      <c r="G5" s="1610"/>
      <c r="H5" s="1610"/>
      <c r="I5" s="1610"/>
      <c r="J5" s="1610"/>
      <c r="K5" s="815"/>
      <c r="N5" s="825"/>
    </row>
    <row r="6" spans="1:30" ht="27" customHeight="1" x14ac:dyDescent="0.3">
      <c r="A6" s="820" t="s">
        <v>801</v>
      </c>
      <c r="B6" s="794"/>
      <c r="C6" s="823"/>
      <c r="D6" s="819"/>
      <c r="E6" s="819"/>
      <c r="F6" s="818"/>
      <c r="G6" s="816"/>
      <c r="H6" s="816"/>
      <c r="I6" s="818"/>
      <c r="J6" s="816"/>
      <c r="K6" s="816"/>
      <c r="L6" s="1608" t="s">
        <v>800</v>
      </c>
      <c r="M6" s="1608"/>
      <c r="AD6" s="1343"/>
    </row>
    <row r="7" spans="1:30" ht="30" customHeight="1" x14ac:dyDescent="0.3">
      <c r="A7" s="802" t="s">
        <v>799</v>
      </c>
      <c r="B7" s="794"/>
      <c r="C7" s="823"/>
      <c r="D7" s="819"/>
      <c r="E7" s="819"/>
      <c r="F7" s="818"/>
      <c r="G7" s="816"/>
      <c r="H7" s="816"/>
      <c r="I7" s="818"/>
      <c r="J7" s="816"/>
      <c r="K7" s="816"/>
      <c r="AD7" s="1343"/>
    </row>
    <row r="8" spans="1:30" ht="32.25" customHeight="1" x14ac:dyDescent="0.3">
      <c r="A8" s="1354" t="s">
        <v>978</v>
      </c>
      <c r="B8" s="803" t="s">
        <v>11</v>
      </c>
      <c r="C8" s="1347">
        <v>0.73</v>
      </c>
      <c r="D8" s="1355">
        <v>664.6</v>
      </c>
      <c r="E8" s="1356">
        <v>111.37712913363922</v>
      </c>
      <c r="F8" s="1347">
        <v>0.72499999999999998</v>
      </c>
      <c r="G8" s="1355">
        <v>728.3</v>
      </c>
      <c r="H8" s="1356"/>
      <c r="I8" s="1347">
        <v>0.72499999999999998</v>
      </c>
      <c r="J8" s="1351">
        <v>780.4</v>
      </c>
      <c r="K8" s="1357">
        <v>565.79</v>
      </c>
      <c r="M8" s="817"/>
      <c r="N8" s="822"/>
      <c r="AD8" s="1343"/>
    </row>
    <row r="9" spans="1:30" ht="33" customHeight="1" x14ac:dyDescent="0.3">
      <c r="A9" s="1354" t="s">
        <v>979</v>
      </c>
      <c r="B9" s="803" t="s">
        <v>94</v>
      </c>
      <c r="C9" s="1347">
        <v>0.14399999999999999</v>
      </c>
      <c r="D9" s="1355">
        <v>1928.3</v>
      </c>
      <c r="E9" s="1356"/>
      <c r="F9" s="1347">
        <v>0.14299999999999999</v>
      </c>
      <c r="G9" s="1355">
        <v>2113.1999999999998</v>
      </c>
      <c r="H9" s="1356"/>
      <c r="I9" s="1347">
        <v>0.14299999999999999</v>
      </c>
      <c r="J9" s="1351">
        <v>2264.5</v>
      </c>
      <c r="K9" s="1357">
        <v>323.82349999999997</v>
      </c>
      <c r="M9" s="817"/>
      <c r="N9" s="821"/>
      <c r="AD9" s="1343"/>
    </row>
    <row r="10" spans="1:30" ht="33" customHeight="1" x14ac:dyDescent="0.3">
      <c r="A10" s="804" t="s">
        <v>980</v>
      </c>
      <c r="B10" s="803" t="s">
        <v>39</v>
      </c>
      <c r="C10" s="1348">
        <v>9.7999999999999997E-4</v>
      </c>
      <c r="D10" s="1355">
        <v>16237.7</v>
      </c>
      <c r="E10" s="1356"/>
      <c r="F10" s="1348">
        <v>9.6000000000000002E-4</v>
      </c>
      <c r="G10" s="1355">
        <v>18034</v>
      </c>
      <c r="H10" s="1356"/>
      <c r="I10" s="1348">
        <v>9.6000000000000002E-4</v>
      </c>
      <c r="J10" s="1351">
        <v>19320.599999999999</v>
      </c>
      <c r="K10" s="1357">
        <v>18.547775999999999</v>
      </c>
      <c r="M10" s="817"/>
      <c r="AD10" s="1343"/>
    </row>
    <row r="11" spans="1:30" ht="46.5" customHeight="1" x14ac:dyDescent="0.3">
      <c r="A11" s="1358" t="s">
        <v>798</v>
      </c>
      <c r="B11" s="803"/>
      <c r="C11" s="1349"/>
      <c r="D11" s="1359"/>
      <c r="E11" s="1355"/>
      <c r="F11" s="1352"/>
      <c r="G11" s="1351"/>
      <c r="H11" s="1355"/>
      <c r="I11" s="1352"/>
      <c r="J11" s="1351"/>
      <c r="K11" s="1360"/>
      <c r="M11" s="817"/>
      <c r="AD11" s="1343"/>
    </row>
    <row r="12" spans="1:30" ht="40.5" customHeight="1" x14ac:dyDescent="0.3">
      <c r="A12" s="804" t="s">
        <v>981</v>
      </c>
      <c r="B12" s="803" t="s">
        <v>39</v>
      </c>
      <c r="C12" s="1348">
        <v>3.0200000000000001E-3</v>
      </c>
      <c r="D12" s="1359">
        <v>20816.900000000001</v>
      </c>
      <c r="E12" s="1356"/>
      <c r="F12" s="1348">
        <v>3.0200000000000001E-3</v>
      </c>
      <c r="G12" s="1351">
        <v>22646.9</v>
      </c>
      <c r="H12" s="1356"/>
      <c r="I12" s="1348">
        <v>3.0200000000000001E-3</v>
      </c>
      <c r="J12" s="1351">
        <v>24262.5</v>
      </c>
      <c r="K12" s="1357">
        <v>73.272750000000002</v>
      </c>
      <c r="M12" s="817"/>
      <c r="AD12" s="1343"/>
    </row>
    <row r="13" spans="1:30" ht="41.25" customHeight="1" x14ac:dyDescent="0.3">
      <c r="A13" s="804" t="s">
        <v>797</v>
      </c>
      <c r="B13" s="803" t="s">
        <v>33</v>
      </c>
      <c r="C13" s="1350">
        <v>1.38E-2</v>
      </c>
      <c r="D13" s="1359">
        <v>120350.2</v>
      </c>
      <c r="E13" s="1356"/>
      <c r="F13" s="1350">
        <v>1.3599999999999999E-2</v>
      </c>
      <c r="G13" s="1351">
        <v>132793.20000000001</v>
      </c>
      <c r="H13" s="1356"/>
      <c r="I13" s="1350">
        <v>1.3599999999999999E-2</v>
      </c>
      <c r="J13" s="1351">
        <v>142220.4</v>
      </c>
      <c r="K13" s="1357">
        <v>1934.1974399999999</v>
      </c>
      <c r="M13" s="817"/>
      <c r="AD13" s="1343"/>
    </row>
    <row r="14" spans="1:30" ht="30.75" customHeight="1" x14ac:dyDescent="0.3">
      <c r="A14" s="1358" t="s">
        <v>982</v>
      </c>
      <c r="B14" s="803"/>
      <c r="C14" s="1351"/>
      <c r="D14" s="1351"/>
      <c r="E14" s="1355"/>
      <c r="F14" s="1361"/>
      <c r="G14" s="1351"/>
      <c r="H14" s="1355"/>
      <c r="I14" s="1361"/>
      <c r="J14" s="1351"/>
      <c r="K14" s="1360">
        <v>0</v>
      </c>
      <c r="M14" s="817"/>
    </row>
    <row r="15" spans="1:30" ht="70.5" customHeight="1" x14ac:dyDescent="0.3">
      <c r="A15" s="804" t="s">
        <v>983</v>
      </c>
      <c r="B15" s="803" t="s">
        <v>11</v>
      </c>
      <c r="C15" s="1352">
        <v>0.03</v>
      </c>
      <c r="D15" s="1355"/>
      <c r="E15" s="1355"/>
      <c r="F15" s="1352">
        <v>0.03</v>
      </c>
      <c r="G15" s="1351"/>
      <c r="H15" s="1355"/>
      <c r="I15" s="1352">
        <v>0.03</v>
      </c>
      <c r="J15" s="1351"/>
      <c r="K15" s="1360">
        <v>0</v>
      </c>
      <c r="M15" s="817"/>
    </row>
    <row r="16" spans="1:30" ht="43.5" customHeight="1" x14ac:dyDescent="0.3">
      <c r="A16" s="1362" t="s">
        <v>984</v>
      </c>
      <c r="B16" s="803" t="s">
        <v>11</v>
      </c>
      <c r="C16" s="1353">
        <v>2.1999999999999999E-2</v>
      </c>
      <c r="D16" s="1355">
        <v>597.5</v>
      </c>
      <c r="E16" s="1355"/>
      <c r="F16" s="1353">
        <v>2.1999999999999999E-2</v>
      </c>
      <c r="G16" s="1351">
        <v>650.45000000000005</v>
      </c>
      <c r="H16" s="1355"/>
      <c r="I16" s="1353">
        <v>2.1999999999999999E-2</v>
      </c>
      <c r="J16" s="1351">
        <v>696.8</v>
      </c>
      <c r="K16" s="1360">
        <v>15.329599999999997</v>
      </c>
      <c r="M16" s="817"/>
    </row>
    <row r="17" spans="1:56" ht="35.25" customHeight="1" x14ac:dyDescent="0.3">
      <c r="A17" s="1362" t="s">
        <v>985</v>
      </c>
      <c r="B17" s="803" t="s">
        <v>11</v>
      </c>
      <c r="C17" s="1353">
        <v>8.0000000000000002E-3</v>
      </c>
      <c r="D17" s="1355">
        <v>2966.6</v>
      </c>
      <c r="E17" s="1355"/>
      <c r="F17" s="1353">
        <v>8.0000000000000002E-3</v>
      </c>
      <c r="G17" s="1351">
        <v>3228.8</v>
      </c>
      <c r="H17" s="1355"/>
      <c r="I17" s="1353">
        <v>8.0000000000000002E-3</v>
      </c>
      <c r="J17" s="1351">
        <v>3459.8</v>
      </c>
      <c r="K17" s="1360">
        <v>27.678400000000003</v>
      </c>
      <c r="M17" s="817"/>
    </row>
    <row r="18" spans="1:56" ht="35.25" customHeight="1" x14ac:dyDescent="0.3">
      <c r="A18" s="1354" t="s">
        <v>973</v>
      </c>
      <c r="B18" s="803"/>
      <c r="C18" s="1363">
        <v>3.0200000000000002E-4</v>
      </c>
      <c r="D18" s="1355">
        <v>2966.6</v>
      </c>
      <c r="E18" s="1355"/>
      <c r="F18" s="1363">
        <v>3.0200000000000002E-4</v>
      </c>
      <c r="G18" s="1351">
        <v>3410.6</v>
      </c>
      <c r="H18" s="1355"/>
      <c r="I18" s="1363">
        <v>3.0200000000000002E-4</v>
      </c>
      <c r="J18" s="1351">
        <v>3645.5</v>
      </c>
      <c r="K18" s="1360"/>
      <c r="M18" s="817"/>
    </row>
    <row r="19" spans="1:56" ht="79.5" customHeight="1" x14ac:dyDescent="0.3">
      <c r="A19" s="804" t="s">
        <v>977</v>
      </c>
      <c r="B19" s="803" t="s">
        <v>32</v>
      </c>
      <c r="C19" s="1353">
        <v>9.1999999999999998E-2</v>
      </c>
      <c r="D19" s="1355">
        <v>3510.3</v>
      </c>
      <c r="E19" s="1355"/>
      <c r="F19" s="1353">
        <v>9.1999999999999998E-2</v>
      </c>
      <c r="G19" s="1351">
        <v>3810.1</v>
      </c>
      <c r="H19" s="1355"/>
      <c r="I19" s="1353">
        <v>9.1999999999999998E-2</v>
      </c>
      <c r="J19" s="1351">
        <v>4075.83</v>
      </c>
      <c r="K19" s="1360"/>
      <c r="M19" s="817"/>
    </row>
    <row r="20" spans="1:56" ht="33.75" customHeight="1" x14ac:dyDescent="0.3">
      <c r="A20" s="1364" t="s">
        <v>974</v>
      </c>
      <c r="B20" s="1365"/>
      <c r="C20" s="1349">
        <v>2.0539999999999998E-3</v>
      </c>
      <c r="D20" s="1355">
        <v>3529.7</v>
      </c>
      <c r="E20" s="1356"/>
      <c r="F20" s="1349">
        <v>2.0539999999999998E-3</v>
      </c>
      <c r="G20" s="1351">
        <v>3832.7</v>
      </c>
      <c r="H20" s="1356"/>
      <c r="I20" s="1349">
        <v>2.0539999999999998E-3</v>
      </c>
      <c r="J20" s="1351">
        <v>4100.2</v>
      </c>
      <c r="K20" s="1357">
        <v>8.4218107999999994</v>
      </c>
      <c r="L20" s="1609" t="s">
        <v>796</v>
      </c>
      <c r="M20" s="1609"/>
    </row>
    <row r="21" spans="1:56" s="813" customFormat="1" ht="36" customHeight="1" x14ac:dyDescent="0.3">
      <c r="A21" s="1612" t="s">
        <v>795</v>
      </c>
      <c r="B21" s="1612"/>
      <c r="C21" s="1612"/>
      <c r="D21" s="1612"/>
      <c r="E21" s="1612"/>
      <c r="F21" s="1612"/>
      <c r="G21" s="1612"/>
      <c r="H21" s="1612"/>
      <c r="I21" s="1612"/>
      <c r="J21" s="1612"/>
      <c r="K21" s="1366"/>
      <c r="L21" s="814"/>
      <c r="M21" s="814"/>
      <c r="N21" s="799"/>
    </row>
    <row r="22" spans="1:56" ht="50.25" customHeight="1" x14ac:dyDescent="0.3">
      <c r="A22" s="1367" t="s">
        <v>85</v>
      </c>
      <c r="B22" s="803" t="s">
        <v>5</v>
      </c>
      <c r="C22" s="1368">
        <v>0.28999999999999998</v>
      </c>
      <c r="D22" s="1369">
        <v>4292.8999999999996</v>
      </c>
      <c r="E22" s="1370">
        <v>1060.604472</v>
      </c>
      <c r="F22" s="1368">
        <v>0.28999999999999998</v>
      </c>
      <c r="G22" s="1369">
        <v>4680.5</v>
      </c>
      <c r="H22" s="1369"/>
      <c r="I22" s="1371">
        <v>0.28999999999999998</v>
      </c>
      <c r="J22" s="1369">
        <v>5030</v>
      </c>
      <c r="K22" s="795">
        <v>1193.9009999999998</v>
      </c>
      <c r="L22" s="812" t="e">
        <f>E22+E23+E60+#REF!+E71</f>
        <v>#REF!</v>
      </c>
      <c r="M22" s="811" t="s">
        <v>794</v>
      </c>
      <c r="N22" s="801"/>
    </row>
    <row r="23" spans="1:56" ht="54.75" customHeight="1" x14ac:dyDescent="0.3">
      <c r="A23" s="1367" t="s">
        <v>86</v>
      </c>
      <c r="B23" s="803"/>
      <c r="C23" s="1372"/>
      <c r="D23" s="1369"/>
      <c r="E23" s="1369"/>
      <c r="F23" s="1369"/>
      <c r="G23" s="1369"/>
      <c r="H23" s="1369"/>
      <c r="I23" s="1369"/>
      <c r="J23" s="793"/>
      <c r="K23" s="793"/>
      <c r="L23" s="810"/>
      <c r="N23" s="801"/>
    </row>
    <row r="24" spans="1:56" ht="30.75" customHeight="1" x14ac:dyDescent="0.3">
      <c r="A24" s="1367" t="s">
        <v>986</v>
      </c>
      <c r="B24" s="803"/>
      <c r="C24" s="1372"/>
      <c r="D24" s="1369"/>
      <c r="E24" s="1369"/>
      <c r="F24" s="1372"/>
      <c r="G24" s="1369"/>
      <c r="H24" s="1369"/>
      <c r="I24" s="1372"/>
      <c r="J24" s="793"/>
      <c r="K24" s="793"/>
      <c r="L24" s="1605" t="s">
        <v>793</v>
      </c>
      <c r="M24" s="1606"/>
      <c r="N24" s="791"/>
    </row>
    <row r="25" spans="1:56" ht="40.5" customHeight="1" x14ac:dyDescent="0.3">
      <c r="A25" s="804" t="s">
        <v>792</v>
      </c>
      <c r="B25" s="803" t="s">
        <v>15</v>
      </c>
      <c r="C25" s="1372">
        <v>0.266791</v>
      </c>
      <c r="D25" s="1369">
        <v>2620.5</v>
      </c>
      <c r="E25" s="1369"/>
      <c r="F25" s="1368">
        <v>0.266791</v>
      </c>
      <c r="G25" s="1369">
        <v>2853.1</v>
      </c>
      <c r="H25" s="1369"/>
      <c r="I25" s="1368">
        <v>0.266791</v>
      </c>
      <c r="J25" s="1369">
        <v>3063.2</v>
      </c>
      <c r="K25" s="795">
        <v>780.08706000000006</v>
      </c>
    </row>
    <row r="26" spans="1:56" s="830" customFormat="1" ht="33.75" customHeight="1" x14ac:dyDescent="0.3">
      <c r="A26" s="1373" t="s">
        <v>987</v>
      </c>
      <c r="B26" s="1374" t="s">
        <v>15</v>
      </c>
      <c r="C26" s="1375">
        <v>0.43239300000000003</v>
      </c>
      <c r="D26" s="1376">
        <v>2620.5</v>
      </c>
      <c r="E26" s="1376"/>
      <c r="F26" s="1368">
        <v>0.43239300000000003</v>
      </c>
      <c r="G26" s="1369">
        <v>3487</v>
      </c>
      <c r="H26" s="1369"/>
      <c r="I26" s="1368">
        <v>0.43239300000000003</v>
      </c>
      <c r="J26" s="1369">
        <v>3743.7</v>
      </c>
      <c r="K26" s="829">
        <v>1189.6324874000002</v>
      </c>
      <c r="O26" s="789"/>
      <c r="P26" s="1339"/>
      <c r="Q26" s="789"/>
      <c r="R26" s="1343"/>
      <c r="S26" s="789"/>
      <c r="T26" s="789"/>
      <c r="U26" s="789"/>
      <c r="V26" s="1335"/>
      <c r="W26" s="789"/>
      <c r="X26" s="1339"/>
      <c r="Y26" s="789"/>
      <c r="Z26" s="789"/>
      <c r="AA26" s="789"/>
      <c r="AB26" s="789"/>
      <c r="AC26" s="789"/>
      <c r="AD26" s="789"/>
      <c r="AE26" s="789"/>
      <c r="AF26" s="789"/>
      <c r="AG26" s="789"/>
      <c r="AH26" s="789"/>
      <c r="AI26" s="789"/>
      <c r="AJ26" s="789"/>
      <c r="AK26" s="789"/>
      <c r="AL26" s="789"/>
      <c r="AM26" s="789"/>
      <c r="AN26" s="789"/>
      <c r="AO26" s="789"/>
      <c r="AP26" s="789"/>
      <c r="AQ26" s="789"/>
      <c r="AR26" s="789"/>
      <c r="AS26" s="789"/>
      <c r="AT26" s="789"/>
      <c r="AU26" s="789"/>
      <c r="AV26" s="789"/>
      <c r="AW26" s="789"/>
      <c r="AX26" s="789"/>
      <c r="AY26" s="789"/>
      <c r="AZ26" s="789"/>
      <c r="BA26" s="789"/>
      <c r="BB26" s="789"/>
      <c r="BC26" s="789"/>
      <c r="BD26" s="789"/>
    </row>
    <row r="27" spans="1:56" s="830" customFormat="1" ht="35.25" customHeight="1" x14ac:dyDescent="0.3">
      <c r="A27" s="1377" t="s">
        <v>791</v>
      </c>
      <c r="B27" s="1374" t="s">
        <v>15</v>
      </c>
      <c r="C27" s="1378">
        <v>5.0757999999999998E-2</v>
      </c>
      <c r="D27" s="1379">
        <v>1384.8</v>
      </c>
      <c r="E27" s="1379"/>
      <c r="F27" s="1380">
        <v>5.0757999999999998E-2</v>
      </c>
      <c r="G27" s="1381">
        <v>1507.7</v>
      </c>
      <c r="H27" s="1381"/>
      <c r="I27" s="1380">
        <v>5.0757999999999998E-2</v>
      </c>
      <c r="J27" s="1381">
        <v>1618.7</v>
      </c>
      <c r="K27" s="831">
        <v>67.1934404</v>
      </c>
      <c r="O27" s="789"/>
      <c r="P27" s="1339"/>
      <c r="Q27" s="789"/>
      <c r="R27" s="1343"/>
      <c r="S27" s="789"/>
      <c r="T27" s="789"/>
      <c r="U27" s="789"/>
      <c r="V27" s="1335"/>
      <c r="W27" s="789"/>
      <c r="X27" s="133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789"/>
      <c r="AJ27" s="789"/>
      <c r="AK27" s="789"/>
      <c r="AL27" s="789"/>
      <c r="AM27" s="789"/>
      <c r="AN27" s="789"/>
      <c r="AO27" s="789"/>
      <c r="AP27" s="789"/>
      <c r="AQ27" s="789"/>
      <c r="AR27" s="789"/>
      <c r="AS27" s="789"/>
      <c r="AT27" s="789"/>
      <c r="AU27" s="789"/>
      <c r="AV27" s="789"/>
      <c r="AW27" s="789"/>
      <c r="AX27" s="789"/>
      <c r="AY27" s="789"/>
      <c r="AZ27" s="789"/>
      <c r="BA27" s="789"/>
      <c r="BB27" s="789"/>
      <c r="BC27" s="789"/>
      <c r="BD27" s="789"/>
    </row>
    <row r="28" spans="1:56" s="830" customFormat="1" ht="35.25" customHeight="1" x14ac:dyDescent="0.3">
      <c r="A28" s="1373" t="s">
        <v>812</v>
      </c>
      <c r="B28" s="1374" t="s">
        <v>15</v>
      </c>
      <c r="C28" s="1382">
        <v>0.134681</v>
      </c>
      <c r="D28" s="1376">
        <v>1842.72</v>
      </c>
      <c r="E28" s="1379"/>
      <c r="F28" s="1368">
        <v>0.14730799999999999</v>
      </c>
      <c r="G28" s="1369">
        <v>2006.29</v>
      </c>
      <c r="H28" s="1369"/>
      <c r="I28" s="1368">
        <v>0.15993399999999999</v>
      </c>
      <c r="J28" s="1369">
        <v>2154.0100000000002</v>
      </c>
      <c r="K28" s="831"/>
      <c r="O28" s="789"/>
      <c r="P28" s="1339"/>
      <c r="Q28" s="789"/>
      <c r="R28" s="1343"/>
      <c r="S28" s="789"/>
      <c r="T28" s="789"/>
      <c r="U28" s="789"/>
      <c r="V28" s="1335"/>
      <c r="W28" s="789"/>
      <c r="X28" s="1339"/>
      <c r="Y28" s="789"/>
      <c r="Z28" s="789"/>
      <c r="AA28" s="789"/>
      <c r="AB28" s="789"/>
      <c r="AC28" s="789"/>
      <c r="AD28" s="789"/>
      <c r="AE28" s="789"/>
      <c r="AF28" s="789"/>
      <c r="AG28" s="789"/>
      <c r="AH28" s="789"/>
      <c r="AI28" s="789"/>
      <c r="AJ28" s="789"/>
      <c r="AK28" s="789"/>
      <c r="AL28" s="789"/>
      <c r="AM28" s="789"/>
      <c r="AN28" s="789"/>
      <c r="AO28" s="789"/>
      <c r="AP28" s="789"/>
      <c r="AQ28" s="789"/>
      <c r="AR28" s="789"/>
      <c r="AS28" s="789"/>
      <c r="AT28" s="789"/>
      <c r="AU28" s="789"/>
      <c r="AV28" s="789"/>
      <c r="AW28" s="789"/>
      <c r="AX28" s="789"/>
      <c r="AY28" s="789"/>
      <c r="AZ28" s="789"/>
      <c r="BA28" s="789"/>
      <c r="BB28" s="789"/>
      <c r="BC28" s="789"/>
      <c r="BD28" s="789"/>
    </row>
    <row r="29" spans="1:56" s="830" customFormat="1" ht="35.25" customHeight="1" x14ac:dyDescent="0.3">
      <c r="A29" s="1377" t="s">
        <v>574</v>
      </c>
      <c r="B29" s="1374" t="s">
        <v>15</v>
      </c>
      <c r="C29" s="1378">
        <v>6.8994E-2</v>
      </c>
      <c r="D29" s="1379">
        <v>2920.1</v>
      </c>
      <c r="E29" s="1379"/>
      <c r="F29" s="1380">
        <v>7.5463000000000002E-2</v>
      </c>
      <c r="G29" s="1381">
        <v>3179.3</v>
      </c>
      <c r="H29" s="1381"/>
      <c r="I29" s="1380">
        <v>8.1931000000000004E-2</v>
      </c>
      <c r="J29" s="1381">
        <v>3413.4</v>
      </c>
      <c r="K29" s="831"/>
      <c r="O29" s="789"/>
      <c r="P29" s="1339"/>
      <c r="Q29" s="789"/>
      <c r="R29" s="1343"/>
      <c r="S29" s="789"/>
      <c r="T29" s="789"/>
      <c r="U29" s="789"/>
      <c r="V29" s="1335"/>
      <c r="W29" s="789"/>
      <c r="X29" s="1339"/>
      <c r="Y29" s="789"/>
      <c r="Z29" s="789"/>
      <c r="AA29" s="789"/>
      <c r="AB29" s="789"/>
      <c r="AC29" s="789"/>
      <c r="AD29" s="789"/>
      <c r="AE29" s="789"/>
      <c r="AF29" s="789"/>
      <c r="AG29" s="789"/>
      <c r="AH29" s="789"/>
      <c r="AI29" s="789"/>
      <c r="AJ29" s="789"/>
      <c r="AK29" s="789"/>
      <c r="AL29" s="789"/>
      <c r="AM29" s="789"/>
      <c r="AN29" s="789"/>
      <c r="AO29" s="789"/>
      <c r="AP29" s="789"/>
      <c r="AQ29" s="789"/>
      <c r="AR29" s="789"/>
      <c r="AS29" s="789"/>
      <c r="AT29" s="789"/>
      <c r="AU29" s="789"/>
      <c r="AV29" s="789"/>
      <c r="AW29" s="789"/>
      <c r="AX29" s="789"/>
      <c r="AY29" s="789"/>
      <c r="AZ29" s="789"/>
      <c r="BA29" s="789"/>
      <c r="BB29" s="789"/>
      <c r="BC29" s="789"/>
      <c r="BD29" s="789"/>
    </row>
    <row r="30" spans="1:56" s="830" customFormat="1" ht="35.25" customHeight="1" x14ac:dyDescent="0.3">
      <c r="A30" s="1377" t="s">
        <v>575</v>
      </c>
      <c r="B30" s="1374" t="s">
        <v>15</v>
      </c>
      <c r="C30" s="1378">
        <v>6.5686999999999995E-2</v>
      </c>
      <c r="D30" s="1379">
        <v>711.1</v>
      </c>
      <c r="E30" s="1379"/>
      <c r="F30" s="1380">
        <v>7.1845000000000006E-2</v>
      </c>
      <c r="G30" s="1381">
        <v>774.2</v>
      </c>
      <c r="H30" s="1381"/>
      <c r="I30" s="1380">
        <v>7.8003000000000003E-2</v>
      </c>
      <c r="J30" s="1381">
        <v>831.2</v>
      </c>
      <c r="K30" s="831"/>
      <c r="O30" s="789"/>
      <c r="P30" s="1339"/>
      <c r="Q30" s="789"/>
      <c r="R30" s="1343"/>
      <c r="S30" s="789"/>
      <c r="T30" s="789"/>
      <c r="U30" s="789"/>
      <c r="V30" s="1335"/>
      <c r="W30" s="789"/>
      <c r="X30" s="1339"/>
      <c r="Y30" s="789"/>
      <c r="Z30" s="789"/>
      <c r="AA30" s="789"/>
      <c r="AB30" s="789"/>
      <c r="AC30" s="789"/>
      <c r="AD30" s="789"/>
      <c r="AE30" s="789"/>
      <c r="AF30" s="789"/>
      <c r="AG30" s="789"/>
      <c r="AH30" s="789"/>
      <c r="AI30" s="789"/>
      <c r="AJ30" s="789"/>
      <c r="AK30" s="789"/>
      <c r="AL30" s="789"/>
      <c r="AM30" s="789"/>
      <c r="AN30" s="789"/>
      <c r="AO30" s="789"/>
      <c r="AP30" s="789"/>
      <c r="AQ30" s="789"/>
      <c r="AR30" s="789"/>
      <c r="AS30" s="789"/>
      <c r="AT30" s="789"/>
      <c r="AU30" s="789"/>
      <c r="AV30" s="789"/>
      <c r="AW30" s="789"/>
      <c r="AX30" s="789"/>
      <c r="AY30" s="789"/>
      <c r="AZ30" s="789"/>
      <c r="BA30" s="789"/>
      <c r="BB30" s="789"/>
      <c r="BC30" s="789"/>
      <c r="BD30" s="789"/>
    </row>
    <row r="31" spans="1:56" s="830" customFormat="1" ht="29.25" customHeight="1" x14ac:dyDescent="0.3">
      <c r="A31" s="1373" t="s">
        <v>813</v>
      </c>
      <c r="B31" s="1374" t="s">
        <v>11</v>
      </c>
      <c r="C31" s="1382">
        <v>2.6785049999999999</v>
      </c>
      <c r="D31" s="1376">
        <v>447.8</v>
      </c>
      <c r="E31" s="1376"/>
      <c r="F31" s="1368">
        <v>2.6785049999999999</v>
      </c>
      <c r="G31" s="1369">
        <v>487.5</v>
      </c>
      <c r="H31" s="1369"/>
      <c r="I31" s="1368">
        <v>2.6785049999999999</v>
      </c>
      <c r="J31" s="1369">
        <v>523.4</v>
      </c>
      <c r="K31" s="829">
        <v>925.40992320000009</v>
      </c>
      <c r="O31" s="789"/>
      <c r="P31" s="1339"/>
      <c r="Q31" s="789"/>
      <c r="R31" s="1343"/>
      <c r="S31" s="789"/>
      <c r="T31" s="789"/>
      <c r="U31" s="789"/>
      <c r="V31" s="1335"/>
      <c r="W31" s="789"/>
      <c r="X31" s="133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89"/>
      <c r="AQ31" s="789"/>
      <c r="AR31" s="789"/>
      <c r="AS31" s="789"/>
      <c r="AT31" s="789"/>
      <c r="AU31" s="789"/>
      <c r="AV31" s="789"/>
      <c r="AW31" s="789"/>
      <c r="AX31" s="789"/>
      <c r="AY31" s="789"/>
      <c r="AZ31" s="789"/>
      <c r="BA31" s="789"/>
      <c r="BB31" s="789"/>
      <c r="BC31" s="789"/>
      <c r="BD31" s="789"/>
    </row>
    <row r="32" spans="1:56" s="830" customFormat="1" ht="27.75" customHeight="1" x14ac:dyDescent="0.3">
      <c r="A32" s="1373" t="s">
        <v>814</v>
      </c>
      <c r="B32" s="1374" t="s">
        <v>11</v>
      </c>
      <c r="C32" s="1382">
        <v>0.54</v>
      </c>
      <c r="D32" s="1376">
        <v>983.6</v>
      </c>
      <c r="E32" s="1376"/>
      <c r="F32" s="1368">
        <v>0.54</v>
      </c>
      <c r="G32" s="1369">
        <v>1070.9000000000001</v>
      </c>
      <c r="H32" s="1369"/>
      <c r="I32" s="1368">
        <v>0.54</v>
      </c>
      <c r="J32" s="1369">
        <v>1149.7</v>
      </c>
      <c r="K32" s="829">
        <v>507.762</v>
      </c>
      <c r="O32" s="789"/>
      <c r="P32" s="1339"/>
      <c r="Q32" s="789"/>
      <c r="R32" s="1343"/>
      <c r="S32" s="789"/>
      <c r="T32" s="789"/>
      <c r="U32" s="789"/>
      <c r="V32" s="1335"/>
      <c r="W32" s="789"/>
      <c r="X32" s="133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89"/>
      <c r="AJ32" s="789"/>
      <c r="AK32" s="789"/>
      <c r="AL32" s="789"/>
      <c r="AM32" s="789"/>
      <c r="AN32" s="789"/>
      <c r="AO32" s="789"/>
      <c r="AP32" s="789"/>
      <c r="AQ32" s="789"/>
      <c r="AR32" s="789"/>
      <c r="AS32" s="789"/>
      <c r="AT32" s="789"/>
      <c r="AU32" s="789"/>
      <c r="AV32" s="789"/>
      <c r="AW32" s="789"/>
      <c r="AX32" s="789"/>
      <c r="AY32" s="789"/>
      <c r="AZ32" s="789"/>
      <c r="BA32" s="789"/>
      <c r="BB32" s="789"/>
      <c r="BC32" s="789"/>
      <c r="BD32" s="789"/>
    </row>
    <row r="33" spans="1:56" s="830" customFormat="1" ht="36.75" customHeight="1" x14ac:dyDescent="0.3">
      <c r="A33" s="1373" t="s">
        <v>815</v>
      </c>
      <c r="B33" s="1374" t="s">
        <v>94</v>
      </c>
      <c r="C33" s="1382">
        <v>1.143086</v>
      </c>
      <c r="D33" s="1376">
        <v>2203.1999999999998</v>
      </c>
      <c r="E33" s="1376"/>
      <c r="F33" s="1368">
        <v>1.143086</v>
      </c>
      <c r="G33" s="1369">
        <v>2398.6999999999998</v>
      </c>
      <c r="H33" s="1369"/>
      <c r="I33" s="1368">
        <v>1.143086</v>
      </c>
      <c r="J33" s="1369">
        <v>2575.3000000000002</v>
      </c>
      <c r="K33" s="829">
        <v>3770.0805300000002</v>
      </c>
      <c r="O33" s="789"/>
      <c r="P33" s="1339"/>
      <c r="Q33" s="789"/>
      <c r="R33" s="1343"/>
      <c r="S33" s="789"/>
      <c r="T33" s="789"/>
      <c r="U33" s="789"/>
      <c r="V33" s="1335"/>
      <c r="W33" s="789"/>
      <c r="X33" s="1339"/>
      <c r="Y33" s="789"/>
      <c r="Z33" s="789"/>
      <c r="AA33" s="789"/>
      <c r="AB33" s="789"/>
      <c r="AC33" s="789"/>
      <c r="AD33" s="789"/>
      <c r="AE33" s="789"/>
      <c r="AF33" s="789"/>
      <c r="AG33" s="789"/>
      <c r="AH33" s="789"/>
      <c r="AI33" s="789"/>
      <c r="AJ33" s="789"/>
      <c r="AK33" s="789"/>
      <c r="AL33" s="789"/>
      <c r="AM33" s="789"/>
      <c r="AN33" s="789"/>
      <c r="AO33" s="789"/>
      <c r="AP33" s="789"/>
      <c r="AQ33" s="789"/>
      <c r="AR33" s="789"/>
      <c r="AS33" s="789"/>
      <c r="AT33" s="789"/>
      <c r="AU33" s="789"/>
      <c r="AV33" s="789"/>
      <c r="AW33" s="789"/>
      <c r="AX33" s="789"/>
      <c r="AY33" s="789"/>
      <c r="AZ33" s="789"/>
      <c r="BA33" s="789"/>
      <c r="BB33" s="789"/>
      <c r="BC33" s="789"/>
      <c r="BD33" s="789"/>
    </row>
    <row r="34" spans="1:56" ht="45" x14ac:dyDescent="0.3">
      <c r="A34" s="1383" t="s">
        <v>942</v>
      </c>
      <c r="B34" s="803" t="s">
        <v>23</v>
      </c>
      <c r="C34" s="1382">
        <v>0.27735399999999999</v>
      </c>
      <c r="D34" s="1376">
        <v>2222.4</v>
      </c>
      <c r="E34" s="1376"/>
      <c r="F34" s="1368">
        <v>0.29065000000000002</v>
      </c>
      <c r="G34" s="1369">
        <v>2395.6999999999998</v>
      </c>
      <c r="H34" s="1369"/>
      <c r="I34" s="1368">
        <v>0.29065000000000002</v>
      </c>
      <c r="J34" s="1369">
        <v>2564.9</v>
      </c>
      <c r="K34" s="793"/>
    </row>
    <row r="35" spans="1:56" ht="33.75" customHeight="1" x14ac:dyDescent="0.3">
      <c r="A35" s="808" t="s">
        <v>856</v>
      </c>
      <c r="B35" s="803" t="s">
        <v>23</v>
      </c>
      <c r="C35" s="1384">
        <v>5.7731999999999999E-2</v>
      </c>
      <c r="D35" s="1381">
        <v>3438.9</v>
      </c>
      <c r="E35" s="1381"/>
      <c r="F35" s="1380">
        <v>6.0618600000000002E-2</v>
      </c>
      <c r="G35" s="1381">
        <v>3744.1</v>
      </c>
      <c r="H35" s="1381"/>
      <c r="I35" s="1380">
        <v>6.0618600000000002E-2</v>
      </c>
      <c r="J35" s="1381">
        <v>4019.8</v>
      </c>
      <c r="K35" s="793">
        <v>165.88854800000001</v>
      </c>
    </row>
    <row r="36" spans="1:56" ht="34.5" customHeight="1" x14ac:dyDescent="0.3">
      <c r="A36" s="808" t="s">
        <v>857</v>
      </c>
      <c r="B36" s="803" t="s">
        <v>23</v>
      </c>
      <c r="C36" s="1384">
        <v>2.2033000000000001E-2</v>
      </c>
      <c r="D36" s="1381">
        <v>4695.5</v>
      </c>
      <c r="E36" s="1381"/>
      <c r="F36" s="1380">
        <v>2.3134650000000003E-2</v>
      </c>
      <c r="G36" s="1381">
        <v>5112.2</v>
      </c>
      <c r="H36" s="1381"/>
      <c r="I36" s="1380">
        <v>2.3134650000000003E-2</v>
      </c>
      <c r="J36" s="1381">
        <v>5488.6</v>
      </c>
      <c r="K36" s="793">
        <v>81.596441499999997</v>
      </c>
    </row>
    <row r="37" spans="1:56" ht="36" customHeight="1" x14ac:dyDescent="0.3">
      <c r="A37" s="808" t="s">
        <v>858</v>
      </c>
      <c r="B37" s="803" t="s">
        <v>23</v>
      </c>
      <c r="C37" s="1384">
        <v>0.122408</v>
      </c>
      <c r="D37" s="1381">
        <v>694.4</v>
      </c>
      <c r="E37" s="1381"/>
      <c r="F37" s="1380">
        <v>0.12852840000000001</v>
      </c>
      <c r="G37" s="1381">
        <v>756</v>
      </c>
      <c r="H37" s="1381"/>
      <c r="I37" s="1380">
        <v>0.12852840000000001</v>
      </c>
      <c r="J37" s="1381">
        <v>811.7</v>
      </c>
      <c r="K37" s="793">
        <v>62.987981999999995</v>
      </c>
    </row>
    <row r="38" spans="1:56" ht="37.5" customHeight="1" x14ac:dyDescent="0.3">
      <c r="A38" s="808" t="s">
        <v>859</v>
      </c>
      <c r="B38" s="803" t="s">
        <v>23</v>
      </c>
      <c r="C38" s="1384">
        <v>3.5369999999999999E-2</v>
      </c>
      <c r="D38" s="1381">
        <v>1273.3</v>
      </c>
      <c r="E38" s="1381"/>
      <c r="F38" s="1380">
        <v>3.7138499999999998E-2</v>
      </c>
      <c r="G38" s="1381">
        <v>1386.3</v>
      </c>
      <c r="H38" s="1381"/>
      <c r="I38" s="1380">
        <v>3.7138499999999998E-2</v>
      </c>
      <c r="J38" s="1381">
        <v>1488.4</v>
      </c>
      <c r="K38" s="793">
        <v>37.633389600000001</v>
      </c>
    </row>
    <row r="39" spans="1:56" ht="45" customHeight="1" x14ac:dyDescent="0.3">
      <c r="A39" s="808" t="s">
        <v>860</v>
      </c>
      <c r="B39" s="803" t="s">
        <v>23</v>
      </c>
      <c r="C39" s="1384">
        <v>1.297E-3</v>
      </c>
      <c r="D39" s="1381">
        <v>10693.2</v>
      </c>
      <c r="E39" s="1381"/>
      <c r="F39" s="1380">
        <v>1.36185E-3</v>
      </c>
      <c r="G39" s="1381">
        <v>11642.3</v>
      </c>
      <c r="H39" s="1381"/>
      <c r="I39" s="1380">
        <v>1.36185E-3</v>
      </c>
      <c r="J39" s="1381">
        <v>12499.5</v>
      </c>
      <c r="K39" s="793">
        <v>11.448304</v>
      </c>
    </row>
    <row r="40" spans="1:56" ht="78" customHeight="1" x14ac:dyDescent="0.3">
      <c r="A40" s="808" t="s">
        <v>861</v>
      </c>
      <c r="B40" s="803" t="s">
        <v>23</v>
      </c>
      <c r="C40" s="1384">
        <v>2.7102999999999999E-2</v>
      </c>
      <c r="D40" s="1381">
        <v>2637.1</v>
      </c>
      <c r="E40" s="1381"/>
      <c r="F40" s="1380">
        <v>2.8458149999999998E-2</v>
      </c>
      <c r="G40" s="1381">
        <v>2871.2</v>
      </c>
      <c r="H40" s="1381"/>
      <c r="I40" s="1380">
        <v>2.8458149999999998E-2</v>
      </c>
      <c r="J40" s="1381">
        <v>3082.6</v>
      </c>
      <c r="K40" s="793">
        <v>38.2975128</v>
      </c>
    </row>
    <row r="41" spans="1:56" ht="40.5" customHeight="1" x14ac:dyDescent="0.3">
      <c r="A41" s="808" t="s">
        <v>862</v>
      </c>
      <c r="B41" s="803" t="s">
        <v>23</v>
      </c>
      <c r="C41" s="1384">
        <v>2.0860000000000002E-3</v>
      </c>
      <c r="D41" s="1381">
        <v>35414.361687870369</v>
      </c>
      <c r="E41" s="1381"/>
      <c r="F41" s="1380">
        <v>2.0860000000000002E-3</v>
      </c>
      <c r="G41" s="1381">
        <v>37146.400000000001</v>
      </c>
      <c r="H41" s="1381"/>
      <c r="I41" s="1380">
        <v>2.0860000000000002E-3</v>
      </c>
      <c r="J41" s="1381">
        <v>38866.699999999997</v>
      </c>
      <c r="K41" s="793">
        <v>50.156151999999999</v>
      </c>
    </row>
    <row r="42" spans="1:56" ht="40.5" customHeight="1" x14ac:dyDescent="0.3">
      <c r="A42" s="808" t="s">
        <v>864</v>
      </c>
      <c r="B42" s="803" t="s">
        <v>23</v>
      </c>
      <c r="C42" s="1384">
        <v>3.6219999999999998E-3</v>
      </c>
      <c r="D42" s="1381">
        <v>4859.6000000000004</v>
      </c>
      <c r="E42" s="1381"/>
      <c r="F42" s="1380">
        <v>3.6219999999999998E-3</v>
      </c>
      <c r="G42" s="1381">
        <v>5290.9</v>
      </c>
      <c r="H42" s="1381"/>
      <c r="I42" s="1380">
        <v>3.6219999999999998E-3</v>
      </c>
      <c r="J42" s="1381">
        <v>5680.4</v>
      </c>
      <c r="K42" s="793"/>
    </row>
    <row r="43" spans="1:56" ht="40.5" customHeight="1" x14ac:dyDescent="0.3">
      <c r="A43" s="808" t="s">
        <v>863</v>
      </c>
      <c r="B43" s="803" t="s">
        <v>15</v>
      </c>
      <c r="C43" s="1384">
        <v>5.7019999999999996E-3</v>
      </c>
      <c r="D43" s="1381">
        <v>1324.4</v>
      </c>
      <c r="E43" s="1381"/>
      <c r="F43" s="1380">
        <v>5.7019999999999996E-3</v>
      </c>
      <c r="G43" s="1381">
        <v>1441.9</v>
      </c>
      <c r="H43" s="1381"/>
      <c r="I43" s="1380">
        <v>5.7019999999999996E-3</v>
      </c>
      <c r="J43" s="1381">
        <v>1548.1</v>
      </c>
      <c r="K43" s="793"/>
    </row>
    <row r="44" spans="1:56" ht="41.25" customHeight="1" x14ac:dyDescent="0.3">
      <c r="A44" s="804" t="s">
        <v>988</v>
      </c>
      <c r="B44" s="803" t="s">
        <v>15</v>
      </c>
      <c r="C44" s="1372">
        <v>0.26173600000000002</v>
      </c>
      <c r="D44" s="1369">
        <v>2661.1</v>
      </c>
      <c r="E44" s="1369"/>
      <c r="F44" s="1380">
        <v>0.26173600000000002</v>
      </c>
      <c r="G44" s="1381">
        <v>2897.3</v>
      </c>
      <c r="H44" s="1381"/>
      <c r="I44" s="1380">
        <v>0.26173600000000002</v>
      </c>
      <c r="J44" s="1381">
        <v>3110.6</v>
      </c>
      <c r="K44" s="795">
        <v>656.19832560000009</v>
      </c>
    </row>
    <row r="45" spans="1:56" ht="33" customHeight="1" x14ac:dyDescent="0.3">
      <c r="A45" s="808" t="s">
        <v>865</v>
      </c>
      <c r="B45" s="803" t="s">
        <v>15</v>
      </c>
      <c r="C45" s="1384">
        <v>4.505E-2</v>
      </c>
      <c r="D45" s="1381">
        <v>3757.1</v>
      </c>
      <c r="E45" s="1381"/>
      <c r="F45" s="1380">
        <v>4.505E-2</v>
      </c>
      <c r="G45" s="1381">
        <v>4090.6</v>
      </c>
      <c r="H45" s="1381"/>
      <c r="I45" s="1380">
        <v>4.505E-2</v>
      </c>
      <c r="J45" s="1381">
        <v>4391.8</v>
      </c>
      <c r="K45" s="793">
        <v>159.16165000000001</v>
      </c>
    </row>
    <row r="46" spans="1:56" ht="34.5" customHeight="1" x14ac:dyDescent="0.3">
      <c r="A46" s="808" t="s">
        <v>866</v>
      </c>
      <c r="B46" s="803" t="s">
        <v>15</v>
      </c>
      <c r="C46" s="1384">
        <v>5.9799999999999999E-2</v>
      </c>
      <c r="D46" s="1381">
        <v>1418.5</v>
      </c>
      <c r="E46" s="1381"/>
      <c r="F46" s="1380">
        <v>5.9799999999999999E-2</v>
      </c>
      <c r="G46" s="1381">
        <v>1544.4</v>
      </c>
      <c r="H46" s="1381"/>
      <c r="I46" s="1380">
        <v>5.9799999999999999E-2</v>
      </c>
      <c r="J46" s="1381">
        <v>1658.1</v>
      </c>
      <c r="K46" s="793">
        <v>79.767220000000009</v>
      </c>
    </row>
    <row r="47" spans="1:56" ht="33.75" customHeight="1" x14ac:dyDescent="0.3">
      <c r="A47" s="808" t="s">
        <v>867</v>
      </c>
      <c r="B47" s="803" t="s">
        <v>15</v>
      </c>
      <c r="C47" s="1384">
        <v>0.12520999999999999</v>
      </c>
      <c r="D47" s="1381">
        <v>3154.3</v>
      </c>
      <c r="E47" s="1381"/>
      <c r="F47" s="1380">
        <v>0.12520999999999999</v>
      </c>
      <c r="G47" s="1381">
        <v>3434.3</v>
      </c>
      <c r="H47" s="1381"/>
      <c r="I47" s="1380">
        <v>0.12520999999999999</v>
      </c>
      <c r="J47" s="1381">
        <v>3687.1</v>
      </c>
      <c r="K47" s="793">
        <v>371.38538099999994</v>
      </c>
    </row>
    <row r="48" spans="1:56" ht="42" customHeight="1" x14ac:dyDescent="0.3">
      <c r="A48" s="1385" t="s">
        <v>975</v>
      </c>
      <c r="B48" s="803" t="s">
        <v>15</v>
      </c>
      <c r="C48" s="1372">
        <v>2.2207000000000001E-2</v>
      </c>
      <c r="D48" s="1369">
        <v>1159.4000000000001</v>
      </c>
      <c r="E48" s="1381"/>
      <c r="F48" s="1368">
        <v>2.3317350000000001E-2</v>
      </c>
      <c r="G48" s="1369">
        <v>1262.3</v>
      </c>
      <c r="H48" s="1369"/>
      <c r="I48" s="1368">
        <v>2.4483217500000001E-2</v>
      </c>
      <c r="J48" s="1369">
        <v>1355.2</v>
      </c>
      <c r="K48" s="793"/>
    </row>
    <row r="49" spans="1:14" ht="90.75" customHeight="1" x14ac:dyDescent="0.3">
      <c r="A49" s="809" t="s">
        <v>790</v>
      </c>
      <c r="B49" s="803" t="s">
        <v>786</v>
      </c>
      <c r="C49" s="1372">
        <v>7.0124000000000006E-2</v>
      </c>
      <c r="D49" s="1369">
        <v>31341.3</v>
      </c>
      <c r="E49" s="1369"/>
      <c r="F49" s="1368">
        <v>7.012399719047599E-2</v>
      </c>
      <c r="G49" s="1369">
        <v>33271.332662215602</v>
      </c>
      <c r="H49" s="1369"/>
      <c r="I49" s="1368">
        <v>7.012399719047599E-2</v>
      </c>
      <c r="J49" s="1369">
        <v>35097.911299757121</v>
      </c>
      <c r="K49" s="795"/>
      <c r="N49" s="801"/>
    </row>
    <row r="50" spans="1:14" ht="45" customHeight="1" x14ac:dyDescent="0.3">
      <c r="A50" s="804" t="s">
        <v>785</v>
      </c>
      <c r="B50" s="803" t="s">
        <v>39</v>
      </c>
      <c r="C50" s="1372">
        <v>2.777E-3</v>
      </c>
      <c r="D50" s="1369">
        <v>57134.393093026418</v>
      </c>
      <c r="E50" s="1369"/>
      <c r="F50" s="1368">
        <v>2.7769971904759915E-3</v>
      </c>
      <c r="G50" s="1369">
        <v>61590.875754282482</v>
      </c>
      <c r="H50" s="1369"/>
      <c r="I50" s="1368">
        <v>2.7769971904759915E-3</v>
      </c>
      <c r="J50" s="1369">
        <v>65779.055305573696</v>
      </c>
      <c r="K50" s="795"/>
      <c r="N50" s="801"/>
    </row>
    <row r="51" spans="1:14" ht="66" customHeight="1" x14ac:dyDescent="0.3">
      <c r="A51" s="804" t="s">
        <v>789</v>
      </c>
      <c r="B51" s="803" t="s">
        <v>39</v>
      </c>
      <c r="C51" s="1372">
        <v>6.7347000000000004E-2</v>
      </c>
      <c r="D51" s="1369">
        <v>30277.7</v>
      </c>
      <c r="E51" s="1369"/>
      <c r="F51" s="1368">
        <v>6.7347000000000004E-2</v>
      </c>
      <c r="G51" s="1369">
        <v>32103.599999999999</v>
      </c>
      <c r="H51" s="1369"/>
      <c r="I51" s="1368">
        <v>6.7347000000000004E-2</v>
      </c>
      <c r="J51" s="1369">
        <v>33832.800000000003</v>
      </c>
      <c r="K51" s="795"/>
      <c r="N51" s="801"/>
    </row>
    <row r="52" spans="1:14" ht="39" customHeight="1" x14ac:dyDescent="0.3">
      <c r="A52" s="805" t="s">
        <v>788</v>
      </c>
      <c r="B52" s="803" t="s">
        <v>39</v>
      </c>
      <c r="C52" s="1372">
        <v>1.3842E-2</v>
      </c>
      <c r="D52" s="1369">
        <v>76759.317309188293</v>
      </c>
      <c r="E52" s="1369"/>
      <c r="F52" s="1368">
        <v>1.3842E-2</v>
      </c>
      <c r="G52" s="1369">
        <v>81617.180890507138</v>
      </c>
      <c r="H52" s="1369"/>
      <c r="I52" s="1368">
        <v>1.3842E-2</v>
      </c>
      <c r="J52" s="1369">
        <v>86184.138337138793</v>
      </c>
      <c r="K52" s="795"/>
      <c r="N52" s="801"/>
    </row>
    <row r="53" spans="1:14" ht="39" customHeight="1" x14ac:dyDescent="0.3">
      <c r="A53" s="804" t="s">
        <v>781</v>
      </c>
      <c r="B53" s="803" t="s">
        <v>39</v>
      </c>
      <c r="C53" s="1372">
        <v>7.6199999999999998E-4</v>
      </c>
      <c r="D53" s="1369">
        <v>87792.4</v>
      </c>
      <c r="E53" s="1369"/>
      <c r="F53" s="1368">
        <v>7.6199999999999998E-4</v>
      </c>
      <c r="G53" s="1369">
        <v>94640.207200000004</v>
      </c>
      <c r="H53" s="1369"/>
      <c r="I53" s="1368">
        <v>7.6199999999999998E-4</v>
      </c>
      <c r="J53" s="1369">
        <v>101075.74128960002</v>
      </c>
      <c r="K53" s="795"/>
      <c r="N53" s="801"/>
    </row>
    <row r="54" spans="1:14" ht="49.5" customHeight="1" x14ac:dyDescent="0.3">
      <c r="A54" s="804" t="s">
        <v>780</v>
      </c>
      <c r="B54" s="803" t="s">
        <v>39</v>
      </c>
      <c r="C54" s="1372">
        <v>1.308E-2</v>
      </c>
      <c r="D54" s="1369">
        <v>76153.7</v>
      </c>
      <c r="E54" s="1369"/>
      <c r="F54" s="1368">
        <v>1.308E-2</v>
      </c>
      <c r="G54" s="1369">
        <v>80858.5</v>
      </c>
      <c r="H54" s="1369"/>
      <c r="I54" s="1368">
        <v>1.308E-2</v>
      </c>
      <c r="J54" s="1369">
        <v>85316.6</v>
      </c>
      <c r="K54" s="795"/>
      <c r="N54" s="801"/>
    </row>
    <row r="55" spans="1:14" ht="44.25" customHeight="1" x14ac:dyDescent="0.3">
      <c r="A55" s="805" t="s">
        <v>787</v>
      </c>
      <c r="B55" s="803" t="s">
        <v>786</v>
      </c>
      <c r="C55" s="1372">
        <v>7.1900000000000002E-4</v>
      </c>
      <c r="D55" s="1369">
        <v>110195.58456189153</v>
      </c>
      <c r="E55" s="1369"/>
      <c r="F55" s="1368">
        <v>7.1900000000000002E-4</v>
      </c>
      <c r="G55" s="1369">
        <v>114647.40900556328</v>
      </c>
      <c r="H55" s="1369"/>
      <c r="I55" s="1368">
        <v>7.1900000000000002E-4</v>
      </c>
      <c r="J55" s="1369">
        <v>118483.50888358831</v>
      </c>
      <c r="K55" s="795"/>
      <c r="N55" s="801"/>
    </row>
    <row r="56" spans="1:14" ht="39.75" customHeight="1" x14ac:dyDescent="0.3">
      <c r="A56" s="804" t="s">
        <v>781</v>
      </c>
      <c r="B56" s="803" t="s">
        <v>786</v>
      </c>
      <c r="C56" s="1372">
        <v>7.4999999999999993E-5</v>
      </c>
      <c r="D56" s="1369">
        <v>121653.5</v>
      </c>
      <c r="E56" s="1369"/>
      <c r="F56" s="1368">
        <v>7.4999999999999993E-5</v>
      </c>
      <c r="G56" s="1369">
        <v>131142.473</v>
      </c>
      <c r="H56" s="1369"/>
      <c r="I56" s="1368">
        <v>7.4999999999999993E-5</v>
      </c>
      <c r="J56" s="1369">
        <v>140060.16116400002</v>
      </c>
      <c r="K56" s="795"/>
      <c r="N56" s="801"/>
    </row>
    <row r="57" spans="1:14" ht="47.25" customHeight="1" x14ac:dyDescent="0.3">
      <c r="A57" s="804" t="s">
        <v>780</v>
      </c>
      <c r="B57" s="803" t="s">
        <v>786</v>
      </c>
      <c r="C57" s="1372">
        <v>6.4400000000000004E-4</v>
      </c>
      <c r="D57" s="1369">
        <v>108861.2</v>
      </c>
      <c r="E57" s="1369"/>
      <c r="F57" s="1368">
        <v>6.4400000000000004E-4</v>
      </c>
      <c r="G57" s="1369">
        <v>112726.39999999999</v>
      </c>
      <c r="H57" s="1369"/>
      <c r="I57" s="1368">
        <v>6.4400000000000004E-4</v>
      </c>
      <c r="J57" s="1369">
        <v>115970.7</v>
      </c>
      <c r="K57" s="795"/>
      <c r="N57" s="801"/>
    </row>
    <row r="58" spans="1:14" ht="72.75" customHeight="1" x14ac:dyDescent="0.3">
      <c r="A58" s="808" t="s">
        <v>816</v>
      </c>
      <c r="B58" s="803" t="s">
        <v>786</v>
      </c>
      <c r="C58" s="1372">
        <v>6.9499999999999998E-4</v>
      </c>
      <c r="D58" s="1369">
        <v>113596.02403834702</v>
      </c>
      <c r="E58" s="1369"/>
      <c r="F58" s="1368">
        <v>6.9499999999999998E-4</v>
      </c>
      <c r="G58" s="1369">
        <v>118934.39999999999</v>
      </c>
      <c r="H58" s="1369"/>
      <c r="I58" s="1368">
        <v>6.9499999999999998E-4</v>
      </c>
      <c r="J58" s="1369">
        <v>124286.2</v>
      </c>
      <c r="K58" s="795"/>
      <c r="N58" s="801"/>
    </row>
    <row r="59" spans="1:14" ht="97.5" customHeight="1" x14ac:dyDescent="0.3">
      <c r="A59" s="809" t="s">
        <v>111</v>
      </c>
      <c r="B59" s="803" t="s">
        <v>39</v>
      </c>
      <c r="C59" s="1386">
        <v>0.1885242874027675</v>
      </c>
      <c r="D59" s="1369">
        <v>54308.751699814238</v>
      </c>
      <c r="E59" s="1369"/>
      <c r="F59" s="1386">
        <v>0.18672437420356253</v>
      </c>
      <c r="G59" s="1387">
        <v>58529.992074006383</v>
      </c>
      <c r="H59" s="1372"/>
      <c r="I59" s="1386">
        <v>0.18614898507753311</v>
      </c>
      <c r="J59" s="1387">
        <v>62461.994271708587</v>
      </c>
      <c r="K59" s="795"/>
    </row>
    <row r="60" spans="1:14" ht="43.5" customHeight="1" x14ac:dyDescent="0.3">
      <c r="A60" s="804" t="s">
        <v>817</v>
      </c>
      <c r="B60" s="803" t="s">
        <v>39</v>
      </c>
      <c r="C60" s="1388">
        <v>1.2024799402767522E-2</v>
      </c>
      <c r="D60" s="1369">
        <v>96223.884421907103</v>
      </c>
      <c r="E60" s="793">
        <v>1515.6</v>
      </c>
      <c r="F60" s="1386">
        <v>1.2025745183126721E-2</v>
      </c>
      <c r="G60" s="1387">
        <v>103729.34740681587</v>
      </c>
      <c r="H60" s="1372"/>
      <c r="I60" s="1386">
        <v>1.2027191670734913E-2</v>
      </c>
      <c r="J60" s="1387">
        <v>110782.94303047935</v>
      </c>
      <c r="K60" s="795">
        <v>1674.6</v>
      </c>
      <c r="L60" s="800"/>
      <c r="M60" s="798"/>
      <c r="N60" s="801"/>
    </row>
    <row r="61" spans="1:14" ht="44.25" customHeight="1" x14ac:dyDescent="0.3">
      <c r="A61" s="804" t="s">
        <v>818</v>
      </c>
      <c r="B61" s="803" t="s">
        <v>39</v>
      </c>
      <c r="C61" s="1386">
        <v>0.17649948799999998</v>
      </c>
      <c r="D61" s="1369">
        <v>51453.1</v>
      </c>
      <c r="E61" s="1389">
        <v>159.5</v>
      </c>
      <c r="F61" s="1386">
        <v>0.17469862902043581</v>
      </c>
      <c r="G61" s="1387">
        <v>55418.6</v>
      </c>
      <c r="H61" s="1372"/>
      <c r="I61" s="1386">
        <v>0.1741217934067982</v>
      </c>
      <c r="J61" s="1387">
        <v>59124.3</v>
      </c>
      <c r="K61" s="793">
        <v>182</v>
      </c>
      <c r="L61" s="807"/>
      <c r="M61" s="798"/>
      <c r="N61" s="806"/>
    </row>
    <row r="62" spans="1:14" ht="40.5" x14ac:dyDescent="0.3">
      <c r="A62" s="805" t="s">
        <v>819</v>
      </c>
      <c r="B62" s="803" t="s">
        <v>39</v>
      </c>
      <c r="C62" s="1388">
        <v>1.1879000000000001E-2</v>
      </c>
      <c r="D62" s="1369">
        <v>100791.90969778599</v>
      </c>
      <c r="E62" s="1389">
        <v>1356.1</v>
      </c>
      <c r="F62" s="1386">
        <v>1.1879000000000001E-2</v>
      </c>
      <c r="G62" s="1387">
        <v>108754.0101934843</v>
      </c>
      <c r="H62" s="1372"/>
      <c r="I62" s="1386">
        <v>1.1879000000000001E-2</v>
      </c>
      <c r="J62" s="1387">
        <v>116065.59915703436</v>
      </c>
      <c r="K62" s="793">
        <v>1492.6</v>
      </c>
      <c r="L62" s="800"/>
      <c r="M62" s="798"/>
      <c r="N62" s="801"/>
    </row>
    <row r="63" spans="1:14" ht="30" x14ac:dyDescent="0.3">
      <c r="A63" s="804" t="s">
        <v>820</v>
      </c>
      <c r="B63" s="803" t="s">
        <v>39</v>
      </c>
      <c r="C63" s="1386">
        <v>1.614E-3</v>
      </c>
      <c r="D63" s="1369">
        <v>125267.7</v>
      </c>
      <c r="E63" s="793" t="e">
        <v>#REF!</v>
      </c>
      <c r="F63" s="1386">
        <v>1.614E-3</v>
      </c>
      <c r="G63" s="1387">
        <v>135038.58060000002</v>
      </c>
      <c r="H63" s="1372"/>
      <c r="I63" s="1386">
        <v>1.614E-3</v>
      </c>
      <c r="J63" s="1387">
        <v>144221.20408080003</v>
      </c>
      <c r="K63" s="793" t="e">
        <v>#REF!</v>
      </c>
      <c r="L63" s="800"/>
      <c r="M63" s="798"/>
      <c r="N63" s="801"/>
    </row>
    <row r="64" spans="1:14" ht="39.75" customHeight="1" x14ac:dyDescent="0.3">
      <c r="A64" s="804" t="s">
        <v>821</v>
      </c>
      <c r="B64" s="803" t="s">
        <v>39</v>
      </c>
      <c r="C64" s="1388">
        <v>1.0265E-2</v>
      </c>
      <c r="D64" s="1369">
        <v>96943.5</v>
      </c>
      <c r="E64" s="1389">
        <v>75.599999999999994</v>
      </c>
      <c r="F64" s="1386">
        <v>1.0265E-2</v>
      </c>
      <c r="G64" s="1387">
        <v>104621.2</v>
      </c>
      <c r="H64" s="1372"/>
      <c r="I64" s="1386">
        <v>1.0265E-2</v>
      </c>
      <c r="J64" s="1387">
        <v>111638.6</v>
      </c>
      <c r="K64" s="793">
        <v>1145.970229</v>
      </c>
      <c r="L64" s="800"/>
      <c r="M64" s="798"/>
      <c r="N64" s="799"/>
    </row>
    <row r="65" spans="1:24" ht="54" x14ac:dyDescent="0.3">
      <c r="A65" s="805" t="s">
        <v>822</v>
      </c>
      <c r="B65" s="803" t="s">
        <v>39</v>
      </c>
      <c r="C65" s="1368">
        <v>2.3270000000000001E-3</v>
      </c>
      <c r="D65" s="1369">
        <v>193720.91526671776</v>
      </c>
      <c r="E65" s="1389">
        <v>450.78856982565225</v>
      </c>
      <c r="F65" s="1368">
        <v>2.3270000000000001E-3</v>
      </c>
      <c r="G65" s="1369">
        <v>207340.7</v>
      </c>
      <c r="H65" s="793"/>
      <c r="I65" s="1368">
        <v>2.3270000000000001E-3</v>
      </c>
      <c r="J65" s="1369">
        <v>219984.1</v>
      </c>
      <c r="K65" s="793">
        <v>511.90300070000001</v>
      </c>
      <c r="L65" s="800"/>
      <c r="M65" s="798"/>
      <c r="N65" s="799"/>
    </row>
    <row r="66" spans="1:24" ht="67.5" x14ac:dyDescent="0.3">
      <c r="A66" s="805" t="s">
        <v>971</v>
      </c>
      <c r="B66" s="803" t="s">
        <v>33</v>
      </c>
      <c r="C66" s="1368">
        <v>4.2999999999999999E-4</v>
      </c>
      <c r="D66" s="1369">
        <v>254744.55</v>
      </c>
      <c r="E66" s="1389"/>
      <c r="F66" s="1368">
        <v>4.2999999999999999E-4</v>
      </c>
      <c r="G66" s="1369">
        <v>270682</v>
      </c>
      <c r="H66" s="793"/>
      <c r="I66" s="1368">
        <v>4.2999999999999999E-4</v>
      </c>
      <c r="J66" s="1369">
        <v>285751</v>
      </c>
      <c r="K66" s="793"/>
      <c r="L66" s="800"/>
      <c r="M66" s="798"/>
      <c r="N66" s="799"/>
    </row>
    <row r="67" spans="1:24" ht="40.5" x14ac:dyDescent="0.3">
      <c r="A67" s="805" t="s">
        <v>970</v>
      </c>
      <c r="B67" s="803" t="s">
        <v>33</v>
      </c>
      <c r="C67" s="1368">
        <v>3.7800000000000003E-4</v>
      </c>
      <c r="D67" s="1369">
        <v>306509.19</v>
      </c>
      <c r="E67" s="1389"/>
      <c r="F67" s="1368">
        <v>3.7800000000000003E-4</v>
      </c>
      <c r="G67" s="1369">
        <v>325685.09999999998</v>
      </c>
      <c r="H67" s="793"/>
      <c r="I67" s="1368">
        <v>3.7800000000000003E-4</v>
      </c>
      <c r="J67" s="1369">
        <v>343816.1</v>
      </c>
      <c r="K67" s="793"/>
      <c r="L67" s="800"/>
      <c r="M67" s="798"/>
      <c r="N67" s="799"/>
    </row>
    <row r="68" spans="1:24" ht="30" x14ac:dyDescent="0.3">
      <c r="A68" s="804" t="s">
        <v>108</v>
      </c>
      <c r="B68" s="803" t="s">
        <v>33</v>
      </c>
      <c r="C68" s="1368">
        <v>1.8900000000000001E-4</v>
      </c>
      <c r="D68" s="1369">
        <v>306509.19</v>
      </c>
      <c r="E68" s="1389"/>
      <c r="F68" s="1368">
        <v>1.8900000000000001E-4</v>
      </c>
      <c r="G68" s="1369">
        <v>325685.09999999998</v>
      </c>
      <c r="H68" s="793"/>
      <c r="I68" s="1368">
        <v>1.8900000000000001E-4</v>
      </c>
      <c r="J68" s="1369">
        <v>343816.1</v>
      </c>
      <c r="K68" s="793"/>
      <c r="L68" s="800"/>
      <c r="M68" s="798"/>
      <c r="N68" s="799"/>
    </row>
    <row r="69" spans="1:24" ht="45" x14ac:dyDescent="0.3">
      <c r="A69" s="804" t="s">
        <v>109</v>
      </c>
      <c r="B69" s="803" t="s">
        <v>33</v>
      </c>
      <c r="C69" s="1368">
        <v>1.8900000000000001E-4</v>
      </c>
      <c r="D69" s="1369">
        <v>306509.19</v>
      </c>
      <c r="E69" s="1389"/>
      <c r="F69" s="1368">
        <v>1.8900000000000001E-4</v>
      </c>
      <c r="G69" s="1369">
        <v>325685.09999999998</v>
      </c>
      <c r="H69" s="793"/>
      <c r="I69" s="1368">
        <v>1.8900000000000001E-4</v>
      </c>
      <c r="J69" s="1369">
        <v>343816.1</v>
      </c>
      <c r="K69" s="793"/>
      <c r="L69" s="800"/>
      <c r="M69" s="798"/>
      <c r="N69" s="799"/>
    </row>
    <row r="70" spans="1:24" ht="54" x14ac:dyDescent="0.3">
      <c r="A70" s="805" t="s">
        <v>972</v>
      </c>
      <c r="B70" s="803" t="s">
        <v>33</v>
      </c>
      <c r="C70" s="1368">
        <v>4.7199999999999998E-4</v>
      </c>
      <c r="D70" s="1369">
        <v>199504.48193357731</v>
      </c>
      <c r="E70" s="1389"/>
      <c r="F70" s="1368">
        <v>4.7199999999999998E-4</v>
      </c>
      <c r="G70" s="1369">
        <v>211986</v>
      </c>
      <c r="H70" s="793"/>
      <c r="I70" s="1368">
        <v>4.7199999999999998E-4</v>
      </c>
      <c r="J70" s="1369">
        <v>223787.4</v>
      </c>
      <c r="K70" s="793"/>
      <c r="L70" s="800"/>
      <c r="M70" s="798"/>
      <c r="N70" s="799"/>
    </row>
    <row r="71" spans="1:24" ht="29.25" customHeight="1" x14ac:dyDescent="0.3">
      <c r="A71" s="1390" t="s">
        <v>113</v>
      </c>
      <c r="B71" s="803"/>
      <c r="C71" s="1368"/>
      <c r="D71" s="1369"/>
      <c r="E71" s="793"/>
      <c r="F71" s="1368"/>
      <c r="G71" s="1369"/>
      <c r="H71" s="793"/>
      <c r="I71" s="1368"/>
      <c r="J71" s="1369"/>
      <c r="K71" s="793"/>
      <c r="L71" s="797"/>
      <c r="M71" s="797"/>
      <c r="N71" s="796"/>
    </row>
    <row r="72" spans="1:24" ht="34.5" customHeight="1" x14ac:dyDescent="0.3">
      <c r="A72" s="1391" t="s">
        <v>784</v>
      </c>
      <c r="B72" s="803" t="s">
        <v>15</v>
      </c>
      <c r="C72" s="1380">
        <v>3.241E-3</v>
      </c>
      <c r="D72" s="1381">
        <v>25427.7</v>
      </c>
      <c r="E72" s="793"/>
      <c r="F72" s="1380">
        <v>3.241E-3</v>
      </c>
      <c r="G72" s="1381">
        <v>27684.5</v>
      </c>
      <c r="H72" s="1389"/>
      <c r="I72" s="1380">
        <v>3.241E-3</v>
      </c>
      <c r="J72" s="1381">
        <v>29722.799999999999</v>
      </c>
      <c r="K72" s="795">
        <v>75.739677200000003</v>
      </c>
    </row>
    <row r="73" spans="1:24" ht="60.75" customHeight="1" x14ac:dyDescent="0.3">
      <c r="A73" s="1391" t="s">
        <v>783</v>
      </c>
      <c r="B73" s="803" t="s">
        <v>39</v>
      </c>
      <c r="C73" s="1380">
        <v>2.833E-3</v>
      </c>
      <c r="D73" s="1381">
        <v>28245.662689728204</v>
      </c>
      <c r="E73" s="793"/>
      <c r="F73" s="1380">
        <v>2.833E-3</v>
      </c>
      <c r="G73" s="1381">
        <v>30014.613540134134</v>
      </c>
      <c r="H73" s="1389"/>
      <c r="I73" s="1380">
        <v>2.833E-3</v>
      </c>
      <c r="J73" s="1381">
        <v>31689.85268620741</v>
      </c>
      <c r="K73" s="795">
        <v>77.186151599999988</v>
      </c>
    </row>
    <row r="74" spans="1:24" ht="37.5" customHeight="1" x14ac:dyDescent="0.3">
      <c r="A74" s="1392" t="s">
        <v>781</v>
      </c>
      <c r="B74" s="803" t="s">
        <v>39</v>
      </c>
      <c r="C74" s="1380">
        <v>1.2799999999999999E-4</v>
      </c>
      <c r="D74" s="1381">
        <v>32608.799999999999</v>
      </c>
      <c r="E74" s="1389"/>
      <c r="F74" s="1380">
        <v>1.2799999999999999E-4</v>
      </c>
      <c r="G74" s="1381">
        <v>35152.286400000005</v>
      </c>
      <c r="H74" s="1389"/>
      <c r="I74" s="1380">
        <v>1.2799999999999999E-4</v>
      </c>
      <c r="J74" s="1381">
        <v>37542.64187520001</v>
      </c>
      <c r="K74" s="793">
        <v>4.38</v>
      </c>
    </row>
    <row r="75" spans="1:24" ht="45" x14ac:dyDescent="0.3">
      <c r="A75" s="1392" t="s">
        <v>780</v>
      </c>
      <c r="B75" s="803" t="s">
        <v>39</v>
      </c>
      <c r="C75" s="1380">
        <v>2.7049999999999999E-3</v>
      </c>
      <c r="D75" s="1381">
        <v>28039.200000000001</v>
      </c>
      <c r="E75" s="1389"/>
      <c r="F75" s="1380">
        <v>2.7049999999999999E-3</v>
      </c>
      <c r="G75" s="1381">
        <v>29771.5</v>
      </c>
      <c r="H75" s="1389"/>
      <c r="I75" s="1380">
        <v>2.7049999999999999E-3</v>
      </c>
      <c r="J75" s="1381">
        <v>31412.9</v>
      </c>
      <c r="K75" s="793">
        <v>72.806151599999993</v>
      </c>
    </row>
    <row r="76" spans="1:24" ht="74.25" customHeight="1" x14ac:dyDescent="0.3">
      <c r="A76" s="1391" t="s">
        <v>782</v>
      </c>
      <c r="B76" s="803" t="s">
        <v>33</v>
      </c>
      <c r="C76" s="1380">
        <v>7.0409999999999995E-3</v>
      </c>
      <c r="D76" s="1381">
        <v>63933.463144439702</v>
      </c>
      <c r="E76" s="793"/>
      <c r="F76" s="1380">
        <v>7.0409999999999995E-3</v>
      </c>
      <c r="G76" s="1381">
        <v>69060.331231359189</v>
      </c>
      <c r="H76" s="1389"/>
      <c r="I76" s="1380">
        <v>7.0409999999999995E-3</v>
      </c>
      <c r="J76" s="1381">
        <v>73777.985350660412</v>
      </c>
      <c r="K76" s="795">
        <v>409.62645240000001</v>
      </c>
    </row>
    <row r="77" spans="1:24" ht="36.75" customHeight="1" x14ac:dyDescent="0.3">
      <c r="A77" s="1392" t="s">
        <v>781</v>
      </c>
      <c r="B77" s="803" t="s">
        <v>33</v>
      </c>
      <c r="C77" s="1380">
        <v>1.3979999999999999E-3</v>
      </c>
      <c r="D77" s="1381">
        <v>102625</v>
      </c>
      <c r="E77" s="1389"/>
      <c r="F77" s="1380">
        <v>1.3979999999999999E-3</v>
      </c>
      <c r="G77" s="1381">
        <v>110629.75</v>
      </c>
      <c r="H77" s="1389"/>
      <c r="I77" s="1380">
        <v>1.3979999999999999E-3</v>
      </c>
      <c r="J77" s="1381">
        <v>118152.573</v>
      </c>
      <c r="K77" s="793">
        <v>124.45</v>
      </c>
    </row>
    <row r="78" spans="1:24" ht="45" x14ac:dyDescent="0.3">
      <c r="A78" s="1392" t="s">
        <v>780</v>
      </c>
      <c r="B78" s="803" t="s">
        <v>33</v>
      </c>
      <c r="C78" s="1380">
        <v>5.6429999999999996E-3</v>
      </c>
      <c r="D78" s="1381">
        <v>54348</v>
      </c>
      <c r="E78" s="1389"/>
      <c r="F78" s="1380">
        <v>5.6429999999999996E-3</v>
      </c>
      <c r="G78" s="1381">
        <v>58761.9</v>
      </c>
      <c r="H78" s="1389"/>
      <c r="I78" s="1380">
        <v>5.6429999999999996E-3</v>
      </c>
      <c r="J78" s="1381">
        <v>62784.6</v>
      </c>
      <c r="K78" s="793">
        <v>285.17645240000002</v>
      </c>
    </row>
    <row r="79" spans="1:24" ht="21" customHeight="1" x14ac:dyDescent="0.3">
      <c r="A79" s="1393"/>
      <c r="B79" s="1394"/>
      <c r="C79" s="1394"/>
      <c r="D79" s="1394"/>
      <c r="E79" s="825" t="e">
        <f>E76+E73+E72+#REF!+E60+#REF!+E44+E33+E32+E31+E26+E25+E22</f>
        <v>#REF!</v>
      </c>
      <c r="F79" s="824"/>
      <c r="G79" s="824"/>
      <c r="H79" s="825" t="e">
        <f>H76+H73+H72+#REF!+H60+#REF!+H44+H33+H32+H31+H26+H25+H22</f>
        <v>#REF!</v>
      </c>
      <c r="I79" s="824"/>
      <c r="J79" s="824"/>
      <c r="K79" s="825" t="e">
        <f>K76+K73+K72+#REF!+K60+#REF!+K44+K33+K32+K31+K26+K25+K22</f>
        <v>#REF!</v>
      </c>
    </row>
    <row r="80" spans="1:24" s="792" customFormat="1" ht="66" customHeight="1" x14ac:dyDescent="0.3">
      <c r="A80" s="1602" t="s">
        <v>779</v>
      </c>
      <c r="B80" s="1602"/>
      <c r="C80" s="1602"/>
      <c r="D80" s="1602"/>
      <c r="E80" s="1602"/>
      <c r="F80" s="1602"/>
      <c r="G80" s="1602"/>
      <c r="H80" s="1602"/>
      <c r="I80" s="1602"/>
      <c r="J80" s="1602"/>
      <c r="K80" s="1602"/>
      <c r="P80" s="1340"/>
      <c r="R80" s="1344"/>
      <c r="V80" s="1336"/>
      <c r="X80" s="1340"/>
    </row>
    <row r="81" spans="1:24" s="790" customFormat="1" ht="93.75" customHeight="1" x14ac:dyDescent="0.3">
      <c r="A81" s="1602" t="s">
        <v>778</v>
      </c>
      <c r="B81" s="1602"/>
      <c r="C81" s="1602"/>
      <c r="D81" s="1602"/>
      <c r="E81" s="1602"/>
      <c r="F81" s="1602"/>
      <c r="G81" s="1602"/>
      <c r="H81" s="1602"/>
      <c r="I81" s="1602"/>
      <c r="J81" s="1602"/>
      <c r="K81" s="1602"/>
      <c r="P81" s="1341"/>
      <c r="R81" s="1345"/>
      <c r="V81" s="1337"/>
      <c r="X81" s="1341"/>
    </row>
    <row r="82" spans="1:24" s="790" customFormat="1" ht="45.75" customHeight="1" x14ac:dyDescent="0.3">
      <c r="A82" s="1602" t="s">
        <v>777</v>
      </c>
      <c r="B82" s="1602"/>
      <c r="C82" s="1602"/>
      <c r="D82" s="1602"/>
      <c r="E82" s="1602"/>
      <c r="F82" s="1602"/>
      <c r="G82" s="1602"/>
      <c r="H82" s="1602"/>
      <c r="I82" s="1602"/>
      <c r="J82" s="1602"/>
      <c r="K82" s="1602"/>
      <c r="P82" s="1341"/>
      <c r="R82" s="1345"/>
      <c r="V82" s="1337"/>
      <c r="X82" s="1341"/>
    </row>
    <row r="83" spans="1:24" s="791" customFormat="1" ht="49.5" customHeight="1" x14ac:dyDescent="0.3">
      <c r="A83" s="1602" t="s">
        <v>776</v>
      </c>
      <c r="B83" s="1602"/>
      <c r="C83" s="1602"/>
      <c r="D83" s="1602"/>
      <c r="E83" s="1602"/>
      <c r="F83" s="1602"/>
      <c r="G83" s="1602"/>
      <c r="H83" s="1602"/>
      <c r="I83" s="1602"/>
      <c r="J83" s="1602"/>
      <c r="K83" s="1602"/>
      <c r="P83" s="1342"/>
      <c r="R83" s="1346"/>
      <c r="V83" s="1338"/>
      <c r="X83" s="1342"/>
    </row>
    <row r="84" spans="1:24" s="791" customFormat="1" ht="48.75" customHeight="1" x14ac:dyDescent="0.3">
      <c r="A84" s="1602" t="s">
        <v>775</v>
      </c>
      <c r="B84" s="1603"/>
      <c r="C84" s="1603"/>
      <c r="D84" s="1603"/>
      <c r="E84" s="1603"/>
      <c r="F84" s="1603"/>
      <c r="G84" s="1603"/>
      <c r="H84" s="1603"/>
      <c r="I84" s="1603"/>
      <c r="J84" s="1603"/>
      <c r="K84" s="1603"/>
      <c r="P84" s="1342"/>
      <c r="R84" s="1346"/>
      <c r="V84" s="1338"/>
      <c r="X84" s="1342"/>
    </row>
    <row r="85" spans="1:24" s="790" customFormat="1" ht="38.25" customHeight="1" x14ac:dyDescent="0.3">
      <c r="A85" s="1602" t="s">
        <v>774</v>
      </c>
      <c r="B85" s="1602"/>
      <c r="C85" s="1602"/>
      <c r="D85" s="1602"/>
      <c r="E85" s="1602"/>
      <c r="F85" s="1602"/>
      <c r="G85" s="1602"/>
      <c r="H85" s="1602"/>
      <c r="I85" s="1602"/>
      <c r="J85" s="1602"/>
      <c r="K85" s="1602"/>
      <c r="P85" s="1341"/>
      <c r="R85" s="1345"/>
      <c r="V85" s="1337"/>
      <c r="X85" s="1341"/>
    </row>
    <row r="86" spans="1:24" s="790" customFormat="1" ht="111" customHeight="1" x14ac:dyDescent="0.3">
      <c r="A86" s="1598" t="s">
        <v>989</v>
      </c>
      <c r="B86" s="1599"/>
      <c r="C86" s="1599"/>
      <c r="D86" s="1599"/>
      <c r="E86" s="1599"/>
      <c r="F86" s="1599"/>
      <c r="G86" s="1599"/>
      <c r="H86" s="1599"/>
      <c r="I86" s="1599"/>
      <c r="J86" s="1599"/>
      <c r="K86" s="1395"/>
      <c r="P86" s="1341"/>
      <c r="R86" s="1345"/>
      <c r="V86" s="1337"/>
      <c r="X86" s="1341"/>
    </row>
    <row r="87" spans="1:24" s="790" customFormat="1" x14ac:dyDescent="0.3">
      <c r="A87" s="1604"/>
      <c r="B87" s="1604"/>
      <c r="C87" s="1604"/>
      <c r="D87" s="1604"/>
      <c r="E87" s="1604"/>
      <c r="F87" s="1604"/>
      <c r="G87" s="1604"/>
      <c r="H87" s="1604"/>
      <c r="I87" s="1604"/>
      <c r="J87" s="1604"/>
      <c r="K87" s="1604"/>
      <c r="P87" s="1341"/>
      <c r="R87" s="1345"/>
      <c r="V87" s="1337"/>
      <c r="X87" s="1341"/>
    </row>
    <row r="88" spans="1:24" x14ac:dyDescent="0.3">
      <c r="A88" s="1601"/>
      <c r="B88" s="1601"/>
      <c r="C88" s="1601"/>
      <c r="D88" s="1601"/>
      <c r="E88" s="1601"/>
      <c r="F88" s="1601"/>
      <c r="G88" s="1601"/>
      <c r="H88" s="1601"/>
      <c r="I88" s="1601"/>
      <c r="J88" s="1601"/>
      <c r="K88" s="1601"/>
    </row>
    <row r="89" spans="1:24" x14ac:dyDescent="0.3">
      <c r="A89" s="1396"/>
      <c r="B89" s="1396"/>
      <c r="C89" s="1396"/>
      <c r="D89" s="1396"/>
      <c r="E89" s="1396"/>
      <c r="F89" s="1396"/>
      <c r="G89" s="1396"/>
      <c r="H89" s="1396"/>
      <c r="I89" s="1396"/>
      <c r="J89" s="1396"/>
      <c r="K89" s="1396"/>
    </row>
    <row r="90" spans="1:24" x14ac:dyDescent="0.3">
      <c r="A90" s="1396"/>
      <c r="B90" s="1396"/>
      <c r="C90" s="1396"/>
      <c r="D90" s="1396"/>
      <c r="E90" s="1396"/>
      <c r="F90" s="1396"/>
      <c r="G90" s="1396"/>
      <c r="H90" s="1396"/>
      <c r="I90" s="1396"/>
      <c r="J90" s="1396"/>
      <c r="K90" s="1396"/>
    </row>
    <row r="91" spans="1:24" x14ac:dyDescent="0.3">
      <c r="A91" s="1396"/>
      <c r="B91" s="1396"/>
      <c r="C91" s="1396"/>
      <c r="D91" s="1396"/>
      <c r="E91" s="1396"/>
      <c r="F91" s="1396"/>
      <c r="G91" s="1396"/>
      <c r="H91" s="1396"/>
      <c r="I91" s="1396"/>
      <c r="J91" s="1396"/>
      <c r="K91" s="1396"/>
    </row>
    <row r="92" spans="1:24" x14ac:dyDescent="0.3">
      <c r="A92" s="1396"/>
      <c r="B92" s="1396"/>
      <c r="C92" s="1396"/>
      <c r="D92" s="1396"/>
      <c r="E92" s="1396"/>
      <c r="F92" s="1396"/>
      <c r="G92" s="1396"/>
      <c r="H92" s="1396"/>
      <c r="I92" s="1396"/>
      <c r="J92" s="1396"/>
      <c r="K92" s="1396"/>
    </row>
    <row r="93" spans="1:24" x14ac:dyDescent="0.3">
      <c r="A93" s="1396"/>
      <c r="B93" s="1396"/>
      <c r="C93" s="1396"/>
      <c r="D93" s="1396"/>
      <c r="E93" s="1396"/>
      <c r="F93" s="1396"/>
      <c r="G93" s="1396"/>
      <c r="H93" s="1396"/>
      <c r="I93" s="1396"/>
      <c r="J93" s="1396"/>
      <c r="K93" s="1396"/>
    </row>
    <row r="94" spans="1:24" x14ac:dyDescent="0.3">
      <c r="A94" s="1396"/>
      <c r="B94" s="1396"/>
      <c r="C94" s="1396"/>
      <c r="D94" s="1396"/>
      <c r="E94" s="1396"/>
      <c r="F94" s="1396"/>
      <c r="G94" s="1396"/>
      <c r="H94" s="1396"/>
      <c r="I94" s="1396"/>
      <c r="J94" s="1396"/>
      <c r="K94" s="1396"/>
    </row>
    <row r="95" spans="1:24" x14ac:dyDescent="0.3">
      <c r="A95" s="1396"/>
      <c r="B95" s="1396"/>
      <c r="C95" s="1396"/>
      <c r="D95" s="1396"/>
      <c r="E95" s="1396"/>
      <c r="F95" s="1396"/>
      <c r="G95" s="1396"/>
      <c r="H95" s="1396"/>
      <c r="I95" s="1396"/>
      <c r="J95" s="1396"/>
      <c r="K95" s="1396"/>
    </row>
    <row r="96" spans="1:24" x14ac:dyDescent="0.3">
      <c r="A96" s="1396"/>
      <c r="B96" s="1396"/>
      <c r="C96" s="1396"/>
      <c r="D96" s="1396"/>
      <c r="E96" s="1396"/>
      <c r="F96" s="1396"/>
      <c r="G96" s="1396"/>
      <c r="H96" s="1396"/>
      <c r="I96" s="1396"/>
      <c r="J96" s="1396"/>
      <c r="K96" s="1396"/>
    </row>
    <row r="97" spans="1:11" x14ac:dyDescent="0.3">
      <c r="A97" s="1396"/>
      <c r="B97" s="1396"/>
      <c r="C97" s="1396"/>
      <c r="D97" s="1396"/>
      <c r="E97" s="1396"/>
      <c r="F97" s="1396"/>
      <c r="G97" s="1396"/>
      <c r="H97" s="1396"/>
      <c r="I97" s="1396"/>
      <c r="J97" s="1396"/>
      <c r="K97" s="1396"/>
    </row>
    <row r="98" spans="1:11" x14ac:dyDescent="0.3">
      <c r="A98" s="1396"/>
      <c r="B98" s="1396"/>
      <c r="C98" s="1396"/>
      <c r="D98" s="1396"/>
      <c r="E98" s="1396"/>
      <c r="F98" s="1396"/>
      <c r="G98" s="1396"/>
      <c r="H98" s="1396"/>
      <c r="I98" s="1396"/>
      <c r="J98" s="1396"/>
      <c r="K98" s="1396"/>
    </row>
    <row r="99" spans="1:11" x14ac:dyDescent="0.3">
      <c r="A99" s="1396"/>
      <c r="B99" s="1396"/>
      <c r="C99" s="1396"/>
      <c r="D99" s="1396"/>
      <c r="E99" s="1396"/>
      <c r="F99" s="1396"/>
      <c r="G99" s="1396"/>
      <c r="H99" s="1396"/>
      <c r="I99" s="1396"/>
      <c r="J99" s="1396"/>
      <c r="K99" s="1396"/>
    </row>
    <row r="100" spans="1:11" x14ac:dyDescent="0.3">
      <c r="A100" s="1396"/>
      <c r="B100" s="1396"/>
      <c r="C100" s="1396"/>
      <c r="D100" s="1396"/>
      <c r="E100" s="1396"/>
      <c r="F100" s="1396"/>
      <c r="G100" s="1396"/>
      <c r="H100" s="1396"/>
      <c r="I100" s="1396"/>
      <c r="J100" s="1396"/>
      <c r="K100" s="1396"/>
    </row>
    <row r="101" spans="1:11" x14ac:dyDescent="0.3">
      <c r="A101" s="1396"/>
      <c r="B101" s="1396"/>
      <c r="C101" s="1396"/>
      <c r="D101" s="1396"/>
      <c r="E101" s="1396"/>
      <c r="F101" s="1396"/>
      <c r="G101" s="1396"/>
      <c r="H101" s="1396"/>
      <c r="I101" s="1396"/>
      <c r="J101" s="1396"/>
      <c r="K101" s="1396"/>
    </row>
    <row r="102" spans="1:11" x14ac:dyDescent="0.3">
      <c r="A102" s="1396"/>
      <c r="B102" s="1396"/>
      <c r="C102" s="1396"/>
      <c r="D102" s="1396"/>
      <c r="E102" s="1396"/>
      <c r="F102" s="1396"/>
      <c r="G102" s="1396"/>
      <c r="H102" s="1396"/>
      <c r="I102" s="1396"/>
      <c r="J102" s="1396"/>
      <c r="K102" s="1396"/>
    </row>
    <row r="103" spans="1:11" x14ac:dyDescent="0.3">
      <c r="A103" s="1396"/>
      <c r="B103" s="1396"/>
      <c r="C103" s="1396"/>
      <c r="D103" s="1396"/>
      <c r="E103" s="1396"/>
      <c r="F103" s="1396"/>
      <c r="G103" s="1396"/>
      <c r="H103" s="1396"/>
      <c r="I103" s="1396"/>
      <c r="J103" s="1396"/>
      <c r="K103" s="1396"/>
    </row>
    <row r="104" spans="1:11" x14ac:dyDescent="0.3">
      <c r="A104" s="1396"/>
      <c r="B104" s="1396"/>
      <c r="C104" s="1396"/>
      <c r="D104" s="1396"/>
      <c r="E104" s="1396"/>
      <c r="F104" s="1396"/>
      <c r="G104" s="1396"/>
      <c r="H104" s="1396"/>
      <c r="I104" s="1396"/>
      <c r="J104" s="1396"/>
      <c r="K104" s="1396"/>
    </row>
    <row r="105" spans="1:11" x14ac:dyDescent="0.3">
      <c r="A105" s="1396"/>
      <c r="B105" s="1396"/>
      <c r="C105" s="1396"/>
      <c r="D105" s="1396"/>
      <c r="E105" s="1396"/>
      <c r="F105" s="1396"/>
      <c r="G105" s="1396"/>
      <c r="H105" s="1396"/>
      <c r="I105" s="1396"/>
      <c r="J105" s="1396"/>
      <c r="K105" s="1396"/>
    </row>
    <row r="106" spans="1:11" x14ac:dyDescent="0.3">
      <c r="A106" s="1396"/>
      <c r="B106" s="1396"/>
      <c r="C106" s="1396"/>
      <c r="D106" s="1396"/>
      <c r="E106" s="1396"/>
      <c r="F106" s="1396"/>
      <c r="G106" s="1396"/>
      <c r="H106" s="1396"/>
      <c r="I106" s="1396"/>
      <c r="J106" s="1396"/>
      <c r="K106" s="1396"/>
    </row>
    <row r="107" spans="1:11" x14ac:dyDescent="0.3">
      <c r="A107" s="1396"/>
      <c r="B107" s="1396"/>
      <c r="C107" s="1396"/>
      <c r="D107" s="1396"/>
      <c r="E107" s="1396"/>
      <c r="F107" s="1396"/>
      <c r="G107" s="1396"/>
      <c r="H107" s="1396"/>
      <c r="I107" s="1396"/>
      <c r="J107" s="1396"/>
      <c r="K107" s="1396"/>
    </row>
    <row r="108" spans="1:11" x14ac:dyDescent="0.3">
      <c r="A108" s="1396"/>
      <c r="B108" s="1396"/>
      <c r="C108" s="1396"/>
      <c r="D108" s="1396"/>
      <c r="E108" s="1396"/>
      <c r="F108" s="1396"/>
      <c r="G108" s="1396"/>
      <c r="H108" s="1396"/>
      <c r="I108" s="1396"/>
      <c r="J108" s="1396"/>
      <c r="K108" s="1396"/>
    </row>
    <row r="109" spans="1:11" x14ac:dyDescent="0.3">
      <c r="A109" s="1396"/>
      <c r="B109" s="1396"/>
      <c r="C109" s="1396"/>
      <c r="D109" s="1396"/>
      <c r="E109" s="1396"/>
      <c r="F109" s="1396"/>
      <c r="G109" s="1396"/>
      <c r="H109" s="1396"/>
      <c r="I109" s="1396"/>
      <c r="J109" s="1396"/>
      <c r="K109" s="1396"/>
    </row>
    <row r="110" spans="1:11" x14ac:dyDescent="0.3">
      <c r="A110" s="1396"/>
      <c r="B110" s="1396"/>
      <c r="C110" s="1396"/>
      <c r="D110" s="1396"/>
      <c r="E110" s="1396"/>
      <c r="F110" s="1396"/>
      <c r="G110" s="1396"/>
      <c r="H110" s="1396"/>
      <c r="I110" s="1396"/>
      <c r="J110" s="1396"/>
      <c r="K110" s="1396"/>
    </row>
    <row r="111" spans="1:11" x14ac:dyDescent="0.3">
      <c r="A111" s="1396"/>
      <c r="B111" s="1396"/>
      <c r="C111" s="1396"/>
      <c r="D111" s="1396"/>
      <c r="E111" s="1396"/>
      <c r="F111" s="1396"/>
      <c r="G111" s="1396"/>
      <c r="H111" s="1396"/>
      <c r="I111" s="1396"/>
      <c r="J111" s="1396"/>
      <c r="K111" s="1396"/>
    </row>
    <row r="112" spans="1:11" x14ac:dyDescent="0.3">
      <c r="A112" s="1396"/>
      <c r="B112" s="1396"/>
      <c r="C112" s="1396"/>
      <c r="D112" s="1396"/>
      <c r="E112" s="1396"/>
      <c r="F112" s="1396"/>
      <c r="G112" s="1396"/>
      <c r="H112" s="1396"/>
      <c r="I112" s="1396"/>
      <c r="J112" s="1396"/>
      <c r="K112" s="1396"/>
    </row>
    <row r="113" spans="1:11" x14ac:dyDescent="0.3">
      <c r="A113" s="1396"/>
      <c r="B113" s="1396"/>
      <c r="C113" s="1396"/>
      <c r="D113" s="1396"/>
      <c r="E113" s="1396"/>
      <c r="F113" s="1396"/>
      <c r="G113" s="1396"/>
      <c r="H113" s="1396"/>
      <c r="I113" s="1396"/>
      <c r="J113" s="1396"/>
      <c r="K113" s="1396"/>
    </row>
    <row r="114" spans="1:11" x14ac:dyDescent="0.3">
      <c r="A114" s="1396"/>
      <c r="B114" s="1396"/>
      <c r="C114" s="1396"/>
      <c r="D114" s="1396"/>
      <c r="E114" s="1396"/>
      <c r="F114" s="1396"/>
      <c r="G114" s="1396"/>
      <c r="H114" s="1396"/>
      <c r="I114" s="1396"/>
      <c r="J114" s="1396"/>
      <c r="K114" s="1396"/>
    </row>
    <row r="115" spans="1:11" x14ac:dyDescent="0.3">
      <c r="A115" s="1396"/>
      <c r="B115" s="1396"/>
      <c r="C115" s="1396"/>
      <c r="D115" s="1396"/>
      <c r="E115" s="1396"/>
      <c r="F115" s="1396"/>
      <c r="G115" s="1396"/>
      <c r="H115" s="1396"/>
      <c r="I115" s="1396"/>
      <c r="J115" s="1396"/>
      <c r="K115" s="1396"/>
    </row>
    <row r="116" spans="1:11" x14ac:dyDescent="0.3">
      <c r="A116" s="1396"/>
      <c r="B116" s="1396"/>
      <c r="C116" s="1396"/>
      <c r="D116" s="1396"/>
      <c r="E116" s="1396"/>
      <c r="F116" s="1396"/>
      <c r="G116" s="1396"/>
      <c r="H116" s="1396"/>
      <c r="I116" s="1396"/>
      <c r="J116" s="1396"/>
      <c r="K116" s="1396"/>
    </row>
    <row r="117" spans="1:11" x14ac:dyDescent="0.3">
      <c r="A117" s="1396"/>
      <c r="B117" s="1396"/>
      <c r="C117" s="1396"/>
      <c r="D117" s="1396"/>
      <c r="E117" s="1396"/>
      <c r="F117" s="1396"/>
      <c r="G117" s="1396"/>
      <c r="H117" s="1396"/>
      <c r="I117" s="1396"/>
      <c r="J117" s="1396"/>
      <c r="K117" s="1396"/>
    </row>
    <row r="118" spans="1:11" x14ac:dyDescent="0.3">
      <c r="A118" s="1396"/>
      <c r="B118" s="1396"/>
      <c r="C118" s="1396"/>
      <c r="D118" s="1396"/>
      <c r="E118" s="1396"/>
      <c r="F118" s="1396"/>
      <c r="G118" s="1396"/>
      <c r="H118" s="1396"/>
      <c r="I118" s="1396"/>
      <c r="J118" s="1396"/>
      <c r="K118" s="1396"/>
    </row>
    <row r="119" spans="1:11" x14ac:dyDescent="0.3">
      <c r="A119" s="1396"/>
      <c r="B119" s="1396"/>
      <c r="C119" s="1396"/>
      <c r="D119" s="1396"/>
      <c r="E119" s="1396"/>
      <c r="F119" s="1396"/>
      <c r="G119" s="1396"/>
      <c r="H119" s="1396"/>
      <c r="I119" s="1396"/>
      <c r="J119" s="1396"/>
      <c r="K119" s="1396"/>
    </row>
    <row r="120" spans="1:11" x14ac:dyDescent="0.3">
      <c r="A120" s="1396"/>
      <c r="B120" s="1396"/>
      <c r="C120" s="1396"/>
      <c r="D120" s="1396"/>
      <c r="E120" s="1396"/>
      <c r="F120" s="1396"/>
      <c r="G120" s="1396"/>
      <c r="H120" s="1396"/>
      <c r="I120" s="1396"/>
      <c r="J120" s="1396"/>
      <c r="K120" s="1396"/>
    </row>
    <row r="121" spans="1:11" x14ac:dyDescent="0.3">
      <c r="A121" s="1396"/>
      <c r="B121" s="1396"/>
      <c r="C121" s="1396"/>
      <c r="D121" s="1396"/>
      <c r="E121" s="1396"/>
      <c r="F121" s="1396"/>
      <c r="G121" s="1396"/>
      <c r="H121" s="1396"/>
      <c r="I121" s="1396"/>
      <c r="J121" s="1396"/>
      <c r="K121" s="1396"/>
    </row>
    <row r="122" spans="1:11" x14ac:dyDescent="0.3">
      <c r="A122" s="1396"/>
      <c r="B122" s="1396"/>
      <c r="C122" s="1396"/>
      <c r="D122" s="1396"/>
      <c r="E122" s="1396"/>
      <c r="F122" s="1396"/>
      <c r="G122" s="1396"/>
      <c r="H122" s="1396"/>
      <c r="I122" s="1396"/>
      <c r="J122" s="1396"/>
      <c r="K122" s="1396"/>
    </row>
    <row r="123" spans="1:11" x14ac:dyDescent="0.3">
      <c r="A123" s="1396"/>
      <c r="B123" s="1396"/>
      <c r="C123" s="1396"/>
      <c r="D123" s="1396"/>
      <c r="E123" s="1396"/>
      <c r="F123" s="1396"/>
      <c r="G123" s="1396"/>
      <c r="H123" s="1396"/>
      <c r="I123" s="1396"/>
      <c r="J123" s="1396"/>
      <c r="K123" s="1396"/>
    </row>
    <row r="124" spans="1:11" x14ac:dyDescent="0.3">
      <c r="A124" s="1396"/>
      <c r="B124" s="1396"/>
      <c r="C124" s="1396"/>
      <c r="D124" s="1396"/>
      <c r="E124" s="1396"/>
      <c r="F124" s="1396"/>
      <c r="G124" s="1396"/>
      <c r="H124" s="1396"/>
      <c r="I124" s="1396"/>
      <c r="J124" s="1396"/>
      <c r="K124" s="1396"/>
    </row>
    <row r="125" spans="1:11" x14ac:dyDescent="0.3">
      <c r="A125" s="1396"/>
      <c r="B125" s="1396"/>
      <c r="C125" s="1396"/>
      <c r="D125" s="1396"/>
      <c r="E125" s="1396"/>
      <c r="F125" s="1396"/>
      <c r="G125" s="1396"/>
      <c r="H125" s="1396"/>
      <c r="I125" s="1396"/>
      <c r="J125" s="1396"/>
      <c r="K125" s="1396"/>
    </row>
    <row r="126" spans="1:11" x14ac:dyDescent="0.3">
      <c r="A126" s="1396"/>
      <c r="B126" s="1396"/>
      <c r="C126" s="1396"/>
      <c r="D126" s="1396"/>
      <c r="E126" s="1396"/>
      <c r="F126" s="1396"/>
      <c r="G126" s="1396"/>
      <c r="H126" s="1396"/>
      <c r="I126" s="1396"/>
      <c r="J126" s="1396"/>
      <c r="K126" s="1396"/>
    </row>
    <row r="127" spans="1:11" x14ac:dyDescent="0.3">
      <c r="A127" s="1396"/>
      <c r="B127" s="1396"/>
      <c r="C127" s="1396"/>
      <c r="D127" s="1396"/>
      <c r="E127" s="1396"/>
      <c r="F127" s="1396"/>
      <c r="G127" s="1396"/>
      <c r="H127" s="1396"/>
      <c r="I127" s="1396"/>
      <c r="J127" s="1396"/>
      <c r="K127" s="1396"/>
    </row>
    <row r="128" spans="1:11" x14ac:dyDescent="0.3">
      <c r="A128" s="1396"/>
      <c r="B128" s="1396"/>
      <c r="C128" s="1396"/>
      <c r="D128" s="1396"/>
      <c r="E128" s="1396"/>
      <c r="F128" s="1396"/>
      <c r="G128" s="1396"/>
      <c r="H128" s="1396"/>
      <c r="I128" s="1396"/>
      <c r="J128" s="1396"/>
      <c r="K128" s="1396"/>
    </row>
    <row r="354" spans="1:1" x14ac:dyDescent="0.3">
      <c r="A354" s="789" t="s">
        <v>773</v>
      </c>
    </row>
    <row r="355" spans="1:1" x14ac:dyDescent="0.3">
      <c r="A355" s="789" t="s">
        <v>772</v>
      </c>
    </row>
    <row r="356" spans="1:1" x14ac:dyDescent="0.3">
      <c r="A356" s="789" t="s">
        <v>771</v>
      </c>
    </row>
    <row r="357" spans="1:1" x14ac:dyDescent="0.3">
      <c r="A357" s="789" t="s">
        <v>770</v>
      </c>
    </row>
    <row r="358" spans="1:1" x14ac:dyDescent="0.3">
      <c r="A358" s="789" t="s">
        <v>769</v>
      </c>
    </row>
  </sheetData>
  <mergeCells count="21">
    <mergeCell ref="L24:M24"/>
    <mergeCell ref="A2:K2"/>
    <mergeCell ref="L6:M6"/>
    <mergeCell ref="L20:M20"/>
    <mergeCell ref="A5:J5"/>
    <mergeCell ref="A3:A4"/>
    <mergeCell ref="B3:B4"/>
    <mergeCell ref="A21:J21"/>
    <mergeCell ref="C3:E3"/>
    <mergeCell ref="F3:H3"/>
    <mergeCell ref="I3:K3"/>
    <mergeCell ref="A86:J86"/>
    <mergeCell ref="G1:J1"/>
    <mergeCell ref="A88:K88"/>
    <mergeCell ref="A83:K83"/>
    <mergeCell ref="A85:K85"/>
    <mergeCell ref="A84:K84"/>
    <mergeCell ref="A87:K87"/>
    <mergeCell ref="A81:K81"/>
    <mergeCell ref="A82:K82"/>
    <mergeCell ref="A80:K80"/>
  </mergeCells>
  <pageMargins left="0.19685039370078741" right="0" top="0" bottom="0" header="0" footer="0"/>
  <pageSetup paperSize="256" scale="96" fitToHeight="17" orientation="landscape" r:id="rId1"/>
  <rowBreaks count="1" manualBreakCount="1">
    <brk id="72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A36D-714A-4F0E-913A-BD3EE6B5BB1E}">
  <sheetPr>
    <pageSetUpPr fitToPage="1"/>
  </sheetPr>
  <dimension ref="A1:M20"/>
  <sheetViews>
    <sheetView zoomScale="60" zoomScaleNormal="60" workbookViewId="0">
      <selection activeCell="F8" sqref="F8"/>
    </sheetView>
  </sheetViews>
  <sheetFormatPr defaultRowHeight="26.25" x14ac:dyDescent="0.4"/>
  <cols>
    <col min="1" max="1" width="77" style="1312" customWidth="1"/>
    <col min="2" max="12" width="31.42578125" style="1312" customWidth="1"/>
    <col min="13" max="13" width="24.5703125" style="1312" customWidth="1"/>
    <col min="14" max="14" width="19.5703125" style="1312" customWidth="1"/>
    <col min="15" max="15" width="17.5703125" style="1312" customWidth="1"/>
    <col min="16" max="16" width="23.7109375" style="1312" customWidth="1"/>
    <col min="17" max="16384" width="9.140625" style="1312"/>
  </cols>
  <sheetData>
    <row r="1" spans="1:13" x14ac:dyDescent="0.4">
      <c r="A1" s="1617" t="s">
        <v>954</v>
      </c>
      <c r="B1" s="1617"/>
      <c r="C1" s="1617"/>
      <c r="D1" s="1617"/>
      <c r="E1" s="1617"/>
      <c r="F1" s="1617"/>
      <c r="G1" s="1617"/>
      <c r="H1" s="1617"/>
      <c r="I1" s="1617"/>
      <c r="J1" s="1617"/>
      <c r="K1" s="1617"/>
      <c r="L1" s="1617"/>
    </row>
    <row r="3" spans="1:13" x14ac:dyDescent="0.4">
      <c r="A3" s="1618" t="s">
        <v>83</v>
      </c>
      <c r="B3" s="1619" t="s">
        <v>473</v>
      </c>
      <c r="C3" s="1620"/>
      <c r="D3" s="1313" t="s">
        <v>379</v>
      </c>
      <c r="E3" s="1313" t="s">
        <v>955</v>
      </c>
      <c r="F3" s="1621" t="s">
        <v>956</v>
      </c>
      <c r="G3" s="1621"/>
      <c r="H3" s="1622" t="s">
        <v>957</v>
      </c>
      <c r="I3" s="1622" t="s">
        <v>958</v>
      </c>
      <c r="J3" s="1623" t="s">
        <v>382</v>
      </c>
      <c r="K3" s="1624"/>
      <c r="L3" s="1625"/>
    </row>
    <row r="4" spans="1:13" ht="36" customHeight="1" x14ac:dyDescent="0.4">
      <c r="A4" s="1618"/>
      <c r="B4" s="1626" t="s">
        <v>957</v>
      </c>
      <c r="C4" s="1627"/>
      <c r="D4" s="1628" t="s">
        <v>957</v>
      </c>
      <c r="E4" s="1628" t="s">
        <v>959</v>
      </c>
      <c r="F4" s="1615" t="s">
        <v>372</v>
      </c>
      <c r="G4" s="1616" t="s">
        <v>373</v>
      </c>
      <c r="H4" s="1622"/>
      <c r="I4" s="1622"/>
      <c r="J4" s="1615" t="s">
        <v>372</v>
      </c>
      <c r="K4" s="1615" t="s">
        <v>960</v>
      </c>
      <c r="L4" s="1615" t="s">
        <v>958</v>
      </c>
    </row>
    <row r="5" spans="1:13" ht="51" x14ac:dyDescent="0.4">
      <c r="A5" s="1618"/>
      <c r="B5" s="1314" t="s">
        <v>372</v>
      </c>
      <c r="C5" s="1315" t="s">
        <v>373</v>
      </c>
      <c r="D5" s="1629"/>
      <c r="E5" s="1629"/>
      <c r="F5" s="1615"/>
      <c r="G5" s="1616"/>
      <c r="H5" s="1622"/>
      <c r="I5" s="1622"/>
      <c r="J5" s="1615"/>
      <c r="K5" s="1615"/>
      <c r="L5" s="1615"/>
    </row>
    <row r="6" spans="1:13" ht="46.5" customHeight="1" x14ac:dyDescent="0.4">
      <c r="A6" s="1316">
        <v>1</v>
      </c>
      <c r="B6" s="1316">
        <v>2</v>
      </c>
      <c r="C6" s="1316">
        <v>3</v>
      </c>
      <c r="D6" s="1316">
        <v>4</v>
      </c>
      <c r="E6" s="1316">
        <v>5</v>
      </c>
      <c r="F6" s="1316">
        <v>6</v>
      </c>
      <c r="G6" s="1316">
        <v>7</v>
      </c>
      <c r="H6" s="1316">
        <v>8</v>
      </c>
      <c r="I6" s="1316">
        <v>9</v>
      </c>
      <c r="J6" s="1316" t="s">
        <v>961</v>
      </c>
      <c r="K6" s="1316" t="s">
        <v>962</v>
      </c>
      <c r="L6" s="1316" t="s">
        <v>963</v>
      </c>
    </row>
    <row r="7" spans="1:13" ht="83.25" customHeight="1" x14ac:dyDescent="0.4">
      <c r="A7" s="1317" t="s">
        <v>964</v>
      </c>
      <c r="B7" s="1318">
        <v>44779986.799200006</v>
      </c>
      <c r="C7" s="1319">
        <v>0.31141200000000002</v>
      </c>
      <c r="D7" s="1320">
        <v>2620.5</v>
      </c>
      <c r="E7" s="1320">
        <v>140899742.30000001</v>
      </c>
      <c r="F7" s="1318">
        <v>38363593.799999997</v>
      </c>
      <c r="G7" s="1321">
        <f>F7/$B$12</f>
        <v>0.26679068767968084</v>
      </c>
      <c r="H7" s="1320">
        <f>D7</f>
        <v>2620.5</v>
      </c>
      <c r="I7" s="1320">
        <f>F7*H7*$B$13*$B$14/1000</f>
        <v>120710631.33193931</v>
      </c>
      <c r="J7" s="1322">
        <f>F7-B7</f>
        <v>-6416392.9992000088</v>
      </c>
      <c r="K7" s="1323">
        <f>D7/H7</f>
        <v>1</v>
      </c>
      <c r="L7" s="1324">
        <f>I7-E7</f>
        <v>-20189110.968060702</v>
      </c>
      <c r="M7" s="1334">
        <f>F7/B7</f>
        <v>0.85671293232014445</v>
      </c>
    </row>
    <row r="8" spans="1:13" ht="51" x14ac:dyDescent="0.4">
      <c r="A8" s="1317" t="s">
        <v>965</v>
      </c>
      <c r="B8" s="1318">
        <v>55878064.590600006</v>
      </c>
      <c r="C8" s="1319">
        <v>0.38859100000000002</v>
      </c>
      <c r="D8" s="1320">
        <v>3202.7</v>
      </c>
      <c r="E8" s="1320">
        <v>214881827.40000001</v>
      </c>
      <c r="F8" s="1318">
        <v>62176641.099999994</v>
      </c>
      <c r="G8" s="1321">
        <f>F8/$B$12</f>
        <v>0.43239298495235629</v>
      </c>
      <c r="H8" s="1320">
        <f>D8</f>
        <v>3202.7</v>
      </c>
      <c r="I8" s="1320">
        <f>F8*H8*$B$13*$B$14/1000</f>
        <v>239103310.98747328</v>
      </c>
      <c r="J8" s="1322">
        <f>F8-B8</f>
        <v>6298576.5093999878</v>
      </c>
      <c r="K8" s="1323">
        <f>D8/H8</f>
        <v>1</v>
      </c>
      <c r="L8" s="1324">
        <f t="shared" ref="L8:L9" si="0">I8-E8</f>
        <v>24221483.587473273</v>
      </c>
      <c r="M8" s="1334">
        <f>F8/B8</f>
        <v>1.1127200191264239</v>
      </c>
    </row>
    <row r="9" spans="1:13" ht="44.25" customHeight="1" x14ac:dyDescent="0.4">
      <c r="A9" s="1317" t="s">
        <v>500</v>
      </c>
      <c r="B9" s="1318">
        <f t="shared" ref="B9:C9" si="1">SUM(B7:B8)</f>
        <v>100658051.38980001</v>
      </c>
      <c r="C9" s="1325">
        <f t="shared" si="1"/>
        <v>0.70000300000000004</v>
      </c>
      <c r="D9" s="1321"/>
      <c r="E9" s="1320">
        <f t="shared" ref="E9:G9" si="2">SUM(E7:E8)</f>
        <v>355781569.70000005</v>
      </c>
      <c r="F9" s="1318">
        <f t="shared" si="2"/>
        <v>100540234.89999999</v>
      </c>
      <c r="G9" s="1321">
        <f t="shared" si="2"/>
        <v>0.69918367263203707</v>
      </c>
      <c r="H9" s="1321"/>
      <c r="I9" s="1320">
        <f t="shared" ref="I9" si="3">SUM(I7:I8)</f>
        <v>359813942.31941259</v>
      </c>
      <c r="J9" s="1322">
        <f>F9-B9</f>
        <v>-117816.48980002105</v>
      </c>
      <c r="K9" s="1323"/>
      <c r="L9" s="1324">
        <f t="shared" si="0"/>
        <v>4032372.6194125414</v>
      </c>
    </row>
    <row r="11" spans="1:13" x14ac:dyDescent="0.4">
      <c r="A11" s="1326"/>
      <c r="B11" s="1326">
        <v>2025</v>
      </c>
      <c r="C11" s="1312" t="s">
        <v>966</v>
      </c>
      <c r="F11" s="1327"/>
    </row>
    <row r="12" spans="1:13" x14ac:dyDescent="0.4">
      <c r="A12" s="1326" t="s">
        <v>122</v>
      </c>
      <c r="B12" s="1328">
        <v>143796600</v>
      </c>
      <c r="C12" s="1328">
        <f>B12*0.7</f>
        <v>100657620</v>
      </c>
      <c r="D12" s="1329"/>
      <c r="F12" s="1327"/>
    </row>
    <row r="13" spans="1:13" x14ac:dyDescent="0.4">
      <c r="A13" s="1326" t="s">
        <v>533</v>
      </c>
      <c r="B13" s="1330">
        <v>1.0071716359782186</v>
      </c>
      <c r="F13" s="1331"/>
    </row>
    <row r="14" spans="1:13" x14ac:dyDescent="0.4">
      <c r="A14" s="1326" t="s">
        <v>374</v>
      </c>
      <c r="B14" s="1332">
        <v>1.1921710918144099</v>
      </c>
    </row>
    <row r="16" spans="1:13" s="1333" customFormat="1" ht="109.5" customHeight="1" x14ac:dyDescent="0.55000000000000004">
      <c r="A16" s="1614" t="s">
        <v>967</v>
      </c>
      <c r="B16" s="1614"/>
      <c r="C16" s="1614"/>
      <c r="D16" s="1614"/>
      <c r="E16" s="1614"/>
      <c r="F16" s="1614"/>
      <c r="G16" s="1614"/>
      <c r="H16" s="1614"/>
      <c r="I16" s="1614"/>
      <c r="J16" s="1614"/>
      <c r="K16" s="1614"/>
      <c r="L16" s="1614"/>
    </row>
    <row r="17" spans="1:12" s="1333" customFormat="1" ht="25.5" customHeight="1" x14ac:dyDescent="0.55000000000000004"/>
    <row r="18" spans="1:12" s="1333" customFormat="1" ht="99.75" customHeight="1" x14ac:dyDescent="0.55000000000000004">
      <c r="A18" s="1614" t="s">
        <v>968</v>
      </c>
      <c r="B18" s="1614"/>
      <c r="C18" s="1614"/>
      <c r="D18" s="1614"/>
      <c r="E18" s="1614"/>
      <c r="F18" s="1614"/>
      <c r="G18" s="1614"/>
      <c r="H18" s="1614"/>
      <c r="I18" s="1614"/>
      <c r="J18" s="1614"/>
      <c r="K18" s="1614"/>
      <c r="L18" s="1614"/>
    </row>
    <row r="20" spans="1:12" ht="36" x14ac:dyDescent="0.55000000000000004">
      <c r="A20" s="1614" t="s">
        <v>969</v>
      </c>
      <c r="B20" s="1614"/>
      <c r="C20" s="1614"/>
      <c r="D20" s="1614"/>
      <c r="E20" s="1614"/>
      <c r="F20" s="1614"/>
      <c r="G20" s="1614"/>
      <c r="H20" s="1614"/>
      <c r="I20" s="1614"/>
      <c r="J20" s="1614"/>
      <c r="K20" s="1614"/>
      <c r="L20" s="1614"/>
    </row>
  </sheetData>
  <mergeCells count="18">
    <mergeCell ref="A1:L1"/>
    <mergeCell ref="A3:A5"/>
    <mergeCell ref="B3:C3"/>
    <mergeCell ref="F3:G3"/>
    <mergeCell ref="H3:H5"/>
    <mergeCell ref="I3:I5"/>
    <mergeCell ref="J3:L3"/>
    <mergeCell ref="B4:C4"/>
    <mergeCell ref="D4:D5"/>
    <mergeCell ref="E4:E5"/>
    <mergeCell ref="A18:L18"/>
    <mergeCell ref="A20:L20"/>
    <mergeCell ref="F4:F5"/>
    <mergeCell ref="G4:G5"/>
    <mergeCell ref="J4:J5"/>
    <mergeCell ref="K4:K5"/>
    <mergeCell ref="L4:L5"/>
    <mergeCell ref="A16:L16"/>
  </mergeCells>
  <pageMargins left="0.25" right="0.25" top="0.75" bottom="0.75" header="0.3" footer="0.3"/>
  <pageSetup paperSize="9" scale="3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1D71-0F42-4ED7-97ED-B3E125F76437}">
  <dimension ref="A1:N127"/>
  <sheetViews>
    <sheetView topLeftCell="A4" workbookViewId="0">
      <selection activeCell="D40" sqref="D40"/>
    </sheetView>
  </sheetViews>
  <sheetFormatPr defaultColWidth="9" defaultRowHeight="15" x14ac:dyDescent="0.25"/>
  <cols>
    <col min="1" max="1" width="22.140625" style="1300" customWidth="1"/>
    <col min="2" max="2" width="17.5703125" style="1300" customWidth="1"/>
    <col min="3" max="3" width="19" style="1300" customWidth="1"/>
    <col min="4" max="4" width="20.85546875" style="1300" customWidth="1"/>
    <col min="5" max="7" width="9" style="1300"/>
    <col min="8" max="8" width="16.140625" style="1300" customWidth="1"/>
    <col min="9" max="9" width="16.28515625" style="1300" customWidth="1"/>
    <col min="10" max="10" width="9" style="1300"/>
    <col min="11" max="11" width="49.28515625" style="1300" customWidth="1"/>
    <col min="12" max="12" width="19.85546875" style="1300" customWidth="1"/>
    <col min="13" max="13" width="18.140625" style="1300" customWidth="1"/>
    <col min="14" max="14" width="23.28515625" style="1300" customWidth="1"/>
    <col min="15" max="16384" width="9" style="1300"/>
  </cols>
  <sheetData>
    <row r="1" spans="1:14" ht="93" customHeight="1" x14ac:dyDescent="0.25">
      <c r="A1" s="1630" t="s">
        <v>943</v>
      </c>
      <c r="B1" s="1630"/>
      <c r="C1" s="1630"/>
      <c r="D1" s="1630"/>
      <c r="I1" s="1631" t="s">
        <v>944</v>
      </c>
      <c r="J1" s="1631"/>
      <c r="K1" s="1631"/>
      <c r="L1" s="1301" t="s">
        <v>945</v>
      </c>
      <c r="M1" s="1302" t="s">
        <v>946</v>
      </c>
      <c r="N1" s="1302" t="s">
        <v>947</v>
      </c>
    </row>
    <row r="2" spans="1:14" ht="18.75" x14ac:dyDescent="0.25">
      <c r="A2" s="1303" t="s">
        <v>936</v>
      </c>
      <c r="B2" s="1303" t="s">
        <v>429</v>
      </c>
      <c r="C2" s="1303" t="s">
        <v>937</v>
      </c>
      <c r="D2" s="1303" t="s">
        <v>938</v>
      </c>
      <c r="E2" s="1300" t="s">
        <v>948</v>
      </c>
      <c r="F2" s="1300" t="s">
        <v>949</v>
      </c>
      <c r="I2" s="1631" t="s">
        <v>950</v>
      </c>
      <c r="J2" s="1631"/>
      <c r="K2" s="1631"/>
      <c r="L2" s="1304">
        <f>SUMPRODUCT(B3:B127,F3:F127)</f>
        <v>88448773</v>
      </c>
      <c r="M2" s="1304">
        <f>L2+375000</f>
        <v>88823773</v>
      </c>
      <c r="N2" s="1305">
        <f>M2*0.7</f>
        <v>62176641.099999994</v>
      </c>
    </row>
    <row r="3" spans="1:14" x14ac:dyDescent="0.25">
      <c r="A3" s="1306">
        <v>0</v>
      </c>
      <c r="B3" s="1306">
        <v>1181159</v>
      </c>
      <c r="C3" s="1306">
        <v>572607</v>
      </c>
      <c r="D3" s="1306">
        <v>608552</v>
      </c>
      <c r="E3" s="1300">
        <v>1</v>
      </c>
      <c r="I3" s="1307"/>
      <c r="J3" s="1307"/>
      <c r="K3" s="1307"/>
      <c r="L3" s="1307"/>
      <c r="M3" s="1307"/>
      <c r="N3" s="1307"/>
    </row>
    <row r="4" spans="1:14" x14ac:dyDescent="0.25">
      <c r="A4" s="1306">
        <v>1</v>
      </c>
      <c r="B4" s="1306">
        <v>1255878</v>
      </c>
      <c r="C4" s="1306">
        <v>610575</v>
      </c>
      <c r="D4" s="1306">
        <v>645303</v>
      </c>
      <c r="E4" s="1300">
        <v>1</v>
      </c>
      <c r="I4" s="1631" t="s">
        <v>944</v>
      </c>
      <c r="J4" s="1631"/>
      <c r="K4" s="1631"/>
      <c r="L4" s="1301" t="s">
        <v>951</v>
      </c>
      <c r="M4" s="1302" t="s">
        <v>952</v>
      </c>
      <c r="N4" s="1302" t="s">
        <v>947</v>
      </c>
    </row>
    <row r="5" spans="1:14" x14ac:dyDescent="0.25">
      <c r="A5" s="1306">
        <v>2</v>
      </c>
      <c r="B5" s="1306">
        <v>1376037</v>
      </c>
      <c r="C5" s="1306">
        <v>667664</v>
      </c>
      <c r="D5" s="1306">
        <v>708373</v>
      </c>
      <c r="E5" s="1300">
        <v>1</v>
      </c>
      <c r="I5" s="1631" t="s">
        <v>953</v>
      </c>
      <c r="J5" s="1631"/>
      <c r="K5" s="1631"/>
      <c r="L5" s="1304">
        <f>SUMPRODUCT(B3:B127,E3:E127)</f>
        <v>55180134</v>
      </c>
      <c r="M5" s="1304">
        <f>L5-375000</f>
        <v>54805134</v>
      </c>
      <c r="N5" s="1305">
        <f>M5*0.7</f>
        <v>38363593.799999997</v>
      </c>
    </row>
    <row r="6" spans="1:14" x14ac:dyDescent="0.25">
      <c r="A6" s="1306">
        <v>3</v>
      </c>
      <c r="B6" s="1306">
        <v>1426671</v>
      </c>
      <c r="C6" s="1306">
        <v>692823</v>
      </c>
      <c r="D6" s="1306">
        <v>733848</v>
      </c>
      <c r="E6" s="1300">
        <v>1</v>
      </c>
    </row>
    <row r="7" spans="1:14" x14ac:dyDescent="0.25">
      <c r="A7" s="1306">
        <v>4</v>
      </c>
      <c r="B7" s="1306">
        <v>1485739</v>
      </c>
      <c r="C7" s="1306">
        <v>721665</v>
      </c>
      <c r="D7" s="1306">
        <v>764074</v>
      </c>
      <c r="E7" s="1300">
        <v>1</v>
      </c>
    </row>
    <row r="8" spans="1:14" x14ac:dyDescent="0.25">
      <c r="A8" s="1306">
        <v>5</v>
      </c>
      <c r="B8" s="1306">
        <v>1619992</v>
      </c>
      <c r="C8" s="1306">
        <v>784962</v>
      </c>
      <c r="D8" s="1306">
        <v>835030</v>
      </c>
      <c r="E8" s="1300">
        <v>1</v>
      </c>
    </row>
    <row r="9" spans="1:14" x14ac:dyDescent="0.25">
      <c r="A9" s="1306">
        <v>6</v>
      </c>
      <c r="B9" s="1306">
        <v>1707215</v>
      </c>
      <c r="C9" s="1306">
        <v>830043</v>
      </c>
      <c r="D9" s="1306">
        <v>877172</v>
      </c>
      <c r="E9" s="1300">
        <v>1</v>
      </c>
    </row>
    <row r="10" spans="1:14" x14ac:dyDescent="0.25">
      <c r="A10" s="1306">
        <v>7</v>
      </c>
      <c r="B10" s="1306">
        <v>1912721</v>
      </c>
      <c r="C10" s="1306">
        <v>930246</v>
      </c>
      <c r="D10" s="1306">
        <v>982475</v>
      </c>
      <c r="E10" s="1300">
        <v>1</v>
      </c>
    </row>
    <row r="11" spans="1:14" x14ac:dyDescent="0.25">
      <c r="A11" s="1306">
        <v>8</v>
      </c>
      <c r="B11" s="1306">
        <v>1971688</v>
      </c>
      <c r="C11" s="1306">
        <v>958089</v>
      </c>
      <c r="D11" s="1306">
        <v>1013599</v>
      </c>
      <c r="E11" s="1300">
        <v>1</v>
      </c>
    </row>
    <row r="12" spans="1:14" x14ac:dyDescent="0.25">
      <c r="A12" s="1306">
        <v>9</v>
      </c>
      <c r="B12" s="1306">
        <v>1981754</v>
      </c>
      <c r="C12" s="1306">
        <v>962656</v>
      </c>
      <c r="D12" s="1306">
        <v>1019098</v>
      </c>
      <c r="E12" s="1300">
        <v>1</v>
      </c>
    </row>
    <row r="13" spans="1:14" x14ac:dyDescent="0.25">
      <c r="A13" s="1306">
        <v>10</v>
      </c>
      <c r="B13" s="1306">
        <v>1968719</v>
      </c>
      <c r="C13" s="1306">
        <v>958368</v>
      </c>
      <c r="D13" s="1306">
        <v>1010351</v>
      </c>
      <c r="E13" s="1300">
        <v>1</v>
      </c>
    </row>
    <row r="14" spans="1:14" x14ac:dyDescent="0.25">
      <c r="A14" s="1306">
        <v>11</v>
      </c>
      <c r="B14" s="1306">
        <v>1979662</v>
      </c>
      <c r="C14" s="1306">
        <v>962509</v>
      </c>
      <c r="D14" s="1306">
        <v>1017153</v>
      </c>
      <c r="E14" s="1300">
        <v>1</v>
      </c>
    </row>
    <row r="15" spans="1:14" x14ac:dyDescent="0.25">
      <c r="A15" s="1306">
        <v>12</v>
      </c>
      <c r="B15" s="1306">
        <v>1875180</v>
      </c>
      <c r="C15" s="1306">
        <v>912185</v>
      </c>
      <c r="D15" s="1306">
        <v>962995</v>
      </c>
      <c r="E15" s="1300">
        <v>1</v>
      </c>
    </row>
    <row r="16" spans="1:14" x14ac:dyDescent="0.25">
      <c r="A16" s="1306">
        <v>13</v>
      </c>
      <c r="B16" s="1306">
        <v>1875734</v>
      </c>
      <c r="C16" s="1306">
        <v>912249</v>
      </c>
      <c r="D16" s="1306">
        <v>963485</v>
      </c>
      <c r="E16" s="1300">
        <v>1</v>
      </c>
    </row>
    <row r="17" spans="1:10" x14ac:dyDescent="0.25">
      <c r="A17" s="1306">
        <v>14</v>
      </c>
      <c r="B17" s="1306">
        <v>1850198</v>
      </c>
      <c r="C17" s="1306">
        <v>901011</v>
      </c>
      <c r="D17" s="1306">
        <v>949187</v>
      </c>
      <c r="E17" s="1300">
        <v>1</v>
      </c>
    </row>
    <row r="18" spans="1:10" x14ac:dyDescent="0.25">
      <c r="A18" s="1306">
        <v>15</v>
      </c>
      <c r="B18" s="1306">
        <v>1802409</v>
      </c>
      <c r="C18" s="1306">
        <v>878537</v>
      </c>
      <c r="D18" s="1306">
        <v>923872</v>
      </c>
      <c r="E18" s="1300">
        <v>1</v>
      </c>
    </row>
    <row r="19" spans="1:10" x14ac:dyDescent="0.25">
      <c r="A19" s="1306">
        <v>16</v>
      </c>
      <c r="B19" s="1306">
        <v>1689709</v>
      </c>
      <c r="C19" s="1306">
        <v>822170</v>
      </c>
      <c r="D19" s="1306">
        <v>867539</v>
      </c>
      <c r="E19" s="1300">
        <v>1</v>
      </c>
    </row>
    <row r="20" spans="1:10" x14ac:dyDescent="0.25">
      <c r="A20" s="1306">
        <v>17</v>
      </c>
      <c r="B20" s="1306">
        <v>1556089</v>
      </c>
      <c r="C20" s="1306">
        <v>758814</v>
      </c>
      <c r="D20" s="1306">
        <v>797275</v>
      </c>
      <c r="E20" s="1300">
        <v>1</v>
      </c>
      <c r="G20" s="1306"/>
      <c r="H20" s="1306" t="s">
        <v>939</v>
      </c>
      <c r="I20" s="1306" t="s">
        <v>940</v>
      </c>
      <c r="J20" s="1306" t="s">
        <v>531</v>
      </c>
    </row>
    <row r="21" spans="1:10" x14ac:dyDescent="0.25">
      <c r="A21" s="1306">
        <v>18</v>
      </c>
      <c r="B21" s="1306">
        <v>1514068</v>
      </c>
      <c r="C21" s="1306">
        <v>743302</v>
      </c>
      <c r="D21" s="1306">
        <v>770766</v>
      </c>
      <c r="F21" s="1300">
        <v>1</v>
      </c>
      <c r="G21" s="1306" t="s">
        <v>907</v>
      </c>
      <c r="H21" s="1308">
        <f>SUM(C21:C52)</f>
        <v>31003609</v>
      </c>
      <c r="I21" s="1308">
        <f>SUM(D21:D52)</f>
        <v>29517350</v>
      </c>
      <c r="J21" s="1306"/>
    </row>
    <row r="22" spans="1:10" x14ac:dyDescent="0.25">
      <c r="A22" s="1306">
        <v>19</v>
      </c>
      <c r="B22" s="1306">
        <v>1525632</v>
      </c>
      <c r="C22" s="1306">
        <v>764303</v>
      </c>
      <c r="D22" s="1306">
        <v>761329</v>
      </c>
      <c r="E22" s="1300">
        <v>1</v>
      </c>
      <c r="G22" s="1309">
        <v>0.32</v>
      </c>
      <c r="H22" s="1310">
        <f>$H$21*G22</f>
        <v>9921154.8800000008</v>
      </c>
      <c r="I22" s="1310">
        <f>$I$21*G22</f>
        <v>9445552</v>
      </c>
      <c r="J22" s="1306">
        <v>2025</v>
      </c>
    </row>
    <row r="23" spans="1:10" x14ac:dyDescent="0.25">
      <c r="A23" s="1306">
        <v>20</v>
      </c>
      <c r="B23" s="1306">
        <v>1457317</v>
      </c>
      <c r="C23" s="1306">
        <v>745935</v>
      </c>
      <c r="D23" s="1306">
        <v>711382</v>
      </c>
      <c r="E23" s="1300">
        <v>1</v>
      </c>
      <c r="G23" s="1309">
        <v>0.35</v>
      </c>
      <c r="H23" s="1311">
        <f t="shared" ref="H23:H24" si="0">$H$21*G23</f>
        <v>10851263.149999999</v>
      </c>
      <c r="I23" s="1311">
        <f t="shared" ref="I23:I24" si="1">$I$21*G23</f>
        <v>10331072.5</v>
      </c>
      <c r="J23" s="1306">
        <v>2026</v>
      </c>
    </row>
    <row r="24" spans="1:10" x14ac:dyDescent="0.25">
      <c r="A24" s="1306">
        <v>21</v>
      </c>
      <c r="B24" s="1306">
        <v>1421371</v>
      </c>
      <c r="C24" s="1306">
        <v>716720</v>
      </c>
      <c r="D24" s="1306">
        <v>704651</v>
      </c>
      <c r="F24" s="1300">
        <v>1</v>
      </c>
      <c r="G24" s="1309">
        <v>0.38</v>
      </c>
      <c r="H24" s="1311">
        <f t="shared" si="0"/>
        <v>11781371.42</v>
      </c>
      <c r="I24" s="1311">
        <f t="shared" si="1"/>
        <v>11216593</v>
      </c>
      <c r="J24" s="1306">
        <v>2027</v>
      </c>
    </row>
    <row r="25" spans="1:10" x14ac:dyDescent="0.25">
      <c r="A25" s="1306">
        <v>22</v>
      </c>
      <c r="B25" s="1306">
        <v>1349261</v>
      </c>
      <c r="C25" s="1306">
        <v>675723</v>
      </c>
      <c r="D25" s="1306">
        <v>673538</v>
      </c>
      <c r="E25" s="1300">
        <v>1</v>
      </c>
    </row>
    <row r="26" spans="1:10" x14ac:dyDescent="0.25">
      <c r="A26" s="1306">
        <v>23</v>
      </c>
      <c r="B26" s="1306">
        <v>1310827</v>
      </c>
      <c r="C26" s="1306">
        <v>655844</v>
      </c>
      <c r="D26" s="1306">
        <v>654983</v>
      </c>
      <c r="E26" s="1300">
        <v>1</v>
      </c>
    </row>
    <row r="27" spans="1:10" x14ac:dyDescent="0.25">
      <c r="A27" s="1306">
        <v>24</v>
      </c>
      <c r="B27" s="1306">
        <v>1269793</v>
      </c>
      <c r="C27" s="1306">
        <v>635023</v>
      </c>
      <c r="D27" s="1306">
        <v>634770</v>
      </c>
      <c r="F27" s="1300">
        <v>1</v>
      </c>
    </row>
    <row r="28" spans="1:10" x14ac:dyDescent="0.25">
      <c r="A28" s="1306">
        <v>25</v>
      </c>
      <c r="B28" s="1306">
        <v>1346188</v>
      </c>
      <c r="C28" s="1306">
        <v>672836</v>
      </c>
      <c r="D28" s="1306">
        <v>673352</v>
      </c>
      <c r="E28" s="1300">
        <v>1</v>
      </c>
    </row>
    <row r="29" spans="1:10" x14ac:dyDescent="0.25">
      <c r="A29" s="1306">
        <v>26</v>
      </c>
      <c r="B29" s="1306">
        <v>1329791</v>
      </c>
      <c r="C29" s="1306">
        <v>665965</v>
      </c>
      <c r="D29" s="1306">
        <v>663826</v>
      </c>
      <c r="E29" s="1300">
        <v>1</v>
      </c>
    </row>
    <row r="30" spans="1:10" x14ac:dyDescent="0.25">
      <c r="A30" s="1306">
        <v>27</v>
      </c>
      <c r="B30" s="1306">
        <v>1379295</v>
      </c>
      <c r="C30" s="1306">
        <v>690877</v>
      </c>
      <c r="D30" s="1306">
        <v>688418</v>
      </c>
      <c r="F30" s="1300">
        <v>1</v>
      </c>
    </row>
    <row r="31" spans="1:10" x14ac:dyDescent="0.25">
      <c r="A31" s="1306">
        <v>28</v>
      </c>
      <c r="B31" s="1306">
        <v>1441986</v>
      </c>
      <c r="C31" s="1306">
        <v>724126</v>
      </c>
      <c r="D31" s="1306">
        <v>717860</v>
      </c>
      <c r="E31" s="1300">
        <v>1</v>
      </c>
    </row>
    <row r="32" spans="1:10" x14ac:dyDescent="0.25">
      <c r="A32" s="1306">
        <v>29</v>
      </c>
      <c r="B32" s="1306">
        <v>1516502</v>
      </c>
      <c r="C32" s="1306">
        <v>760342</v>
      </c>
      <c r="D32" s="1306">
        <v>756160</v>
      </c>
      <c r="E32" s="1300">
        <v>1</v>
      </c>
    </row>
    <row r="33" spans="1:6" x14ac:dyDescent="0.25">
      <c r="A33" s="1306">
        <v>30</v>
      </c>
      <c r="B33" s="1306">
        <v>1512984</v>
      </c>
      <c r="C33" s="1306">
        <v>761389</v>
      </c>
      <c r="D33" s="1306">
        <v>751595</v>
      </c>
      <c r="F33" s="1300">
        <v>1</v>
      </c>
    </row>
    <row r="34" spans="1:6" x14ac:dyDescent="0.25">
      <c r="A34" s="1306">
        <v>31</v>
      </c>
      <c r="B34" s="1306">
        <v>1705549</v>
      </c>
      <c r="C34" s="1306">
        <v>860360</v>
      </c>
      <c r="D34" s="1306">
        <v>845189</v>
      </c>
      <c r="E34" s="1300">
        <v>1</v>
      </c>
    </row>
    <row r="35" spans="1:6" x14ac:dyDescent="0.25">
      <c r="A35" s="1306">
        <v>32</v>
      </c>
      <c r="B35" s="1306">
        <v>1911506</v>
      </c>
      <c r="C35" s="1306">
        <v>965968</v>
      </c>
      <c r="D35" s="1306">
        <v>945538</v>
      </c>
      <c r="E35" s="1300">
        <v>1</v>
      </c>
    </row>
    <row r="36" spans="1:6" x14ac:dyDescent="0.25">
      <c r="A36" s="1306">
        <v>33</v>
      </c>
      <c r="B36" s="1306">
        <v>2107813</v>
      </c>
      <c r="C36" s="1306">
        <v>1068463</v>
      </c>
      <c r="D36" s="1306">
        <v>1039350</v>
      </c>
      <c r="F36" s="1300">
        <v>1</v>
      </c>
    </row>
    <row r="37" spans="1:6" x14ac:dyDescent="0.25">
      <c r="A37" s="1306">
        <v>34</v>
      </c>
      <c r="B37" s="1306">
        <v>2278599</v>
      </c>
      <c r="C37" s="1306">
        <v>1155919</v>
      </c>
      <c r="D37" s="1306">
        <v>1122680</v>
      </c>
      <c r="E37" s="1300">
        <v>1</v>
      </c>
    </row>
    <row r="38" spans="1:6" x14ac:dyDescent="0.25">
      <c r="A38" s="1306">
        <v>35</v>
      </c>
      <c r="B38" s="1306">
        <v>2456237</v>
      </c>
      <c r="C38" s="1306">
        <v>1251520</v>
      </c>
      <c r="D38" s="1306">
        <v>1204717</v>
      </c>
      <c r="E38" s="1300">
        <v>1</v>
      </c>
    </row>
    <row r="39" spans="1:6" x14ac:dyDescent="0.25">
      <c r="A39" s="1306">
        <v>36</v>
      </c>
      <c r="B39" s="1306">
        <v>2597395</v>
      </c>
      <c r="C39" s="1306">
        <v>1325586</v>
      </c>
      <c r="D39" s="1306">
        <v>1271809</v>
      </c>
      <c r="F39" s="1300">
        <v>1</v>
      </c>
    </row>
    <row r="40" spans="1:6" x14ac:dyDescent="0.25">
      <c r="A40" s="1306">
        <v>37</v>
      </c>
      <c r="B40" s="1306">
        <v>2576395</v>
      </c>
      <c r="C40" s="1306">
        <v>1319739</v>
      </c>
      <c r="D40" s="1306">
        <v>1256656</v>
      </c>
      <c r="E40" s="1300">
        <v>1</v>
      </c>
    </row>
    <row r="41" spans="1:6" x14ac:dyDescent="0.25">
      <c r="A41" s="1306">
        <v>38</v>
      </c>
      <c r="B41" s="1306">
        <v>2457790</v>
      </c>
      <c r="C41" s="1306">
        <v>1261405</v>
      </c>
      <c r="D41" s="1306">
        <v>1196385</v>
      </c>
      <c r="E41" s="1300">
        <v>1</v>
      </c>
    </row>
    <row r="42" spans="1:6" x14ac:dyDescent="0.25">
      <c r="A42" s="1306">
        <v>39</v>
      </c>
      <c r="B42" s="1306">
        <v>2474137</v>
      </c>
      <c r="C42" s="1306">
        <v>1273222</v>
      </c>
      <c r="D42" s="1306">
        <v>1200915</v>
      </c>
      <c r="F42" s="1300">
        <v>1</v>
      </c>
    </row>
    <row r="43" spans="1:6" x14ac:dyDescent="0.25">
      <c r="A43" s="1306">
        <v>40</v>
      </c>
      <c r="B43" s="1306">
        <v>2506840</v>
      </c>
      <c r="C43" s="1306">
        <v>1296863</v>
      </c>
      <c r="D43" s="1306">
        <v>1209977</v>
      </c>
      <c r="F43" s="1300">
        <v>1</v>
      </c>
    </row>
    <row r="44" spans="1:6" x14ac:dyDescent="0.25">
      <c r="A44" s="1306">
        <v>41</v>
      </c>
      <c r="B44" s="1306">
        <v>2328993</v>
      </c>
      <c r="C44" s="1306">
        <v>1207354</v>
      </c>
      <c r="D44" s="1306">
        <v>1121639</v>
      </c>
      <c r="F44" s="1300">
        <v>1</v>
      </c>
    </row>
    <row r="45" spans="1:6" x14ac:dyDescent="0.25">
      <c r="A45" s="1306">
        <v>42</v>
      </c>
      <c r="B45" s="1306">
        <v>2229559</v>
      </c>
      <c r="C45" s="1306">
        <v>1160628</v>
      </c>
      <c r="D45" s="1306">
        <v>1068931</v>
      </c>
      <c r="F45" s="1300">
        <v>1</v>
      </c>
    </row>
    <row r="46" spans="1:6" x14ac:dyDescent="0.25">
      <c r="A46" s="1306">
        <v>43</v>
      </c>
      <c r="B46" s="1306">
        <v>2174217</v>
      </c>
      <c r="C46" s="1306">
        <v>1134810</v>
      </c>
      <c r="D46" s="1306">
        <v>1039407</v>
      </c>
      <c r="F46" s="1300">
        <v>1</v>
      </c>
    </row>
    <row r="47" spans="1:6" x14ac:dyDescent="0.25">
      <c r="A47" s="1306">
        <v>44</v>
      </c>
      <c r="B47" s="1306">
        <v>2131631</v>
      </c>
      <c r="C47" s="1306">
        <v>1116116</v>
      </c>
      <c r="D47" s="1306">
        <v>1015515</v>
      </c>
      <c r="F47" s="1300">
        <v>1</v>
      </c>
    </row>
    <row r="48" spans="1:6" x14ac:dyDescent="0.25">
      <c r="A48" s="1306">
        <v>45</v>
      </c>
      <c r="B48" s="1306">
        <v>2109316</v>
      </c>
      <c r="C48" s="1306">
        <v>1107701</v>
      </c>
      <c r="D48" s="1306">
        <v>1001615</v>
      </c>
      <c r="F48" s="1300">
        <v>1</v>
      </c>
    </row>
    <row r="49" spans="1:6" x14ac:dyDescent="0.25">
      <c r="A49" s="1306">
        <v>46</v>
      </c>
      <c r="B49" s="1306">
        <v>2071310</v>
      </c>
      <c r="C49" s="1306">
        <v>1092700</v>
      </c>
      <c r="D49" s="1306">
        <v>978610</v>
      </c>
      <c r="F49" s="1300">
        <v>1</v>
      </c>
    </row>
    <row r="50" spans="1:6" x14ac:dyDescent="0.25">
      <c r="A50" s="1306">
        <v>47</v>
      </c>
      <c r="B50" s="1306">
        <v>2052898</v>
      </c>
      <c r="C50" s="1306">
        <v>1084814</v>
      </c>
      <c r="D50" s="1306">
        <v>968084</v>
      </c>
      <c r="F50" s="1300">
        <v>1</v>
      </c>
    </row>
    <row r="51" spans="1:6" x14ac:dyDescent="0.25">
      <c r="A51" s="1306">
        <v>48</v>
      </c>
      <c r="B51" s="1306">
        <v>2005827</v>
      </c>
      <c r="C51" s="1306">
        <v>1062606</v>
      </c>
      <c r="D51" s="1306">
        <v>943221</v>
      </c>
      <c r="F51" s="1300">
        <v>1</v>
      </c>
    </row>
    <row r="52" spans="1:6" x14ac:dyDescent="0.25">
      <c r="A52" s="1306">
        <v>49</v>
      </c>
      <c r="B52" s="1306">
        <v>1969932</v>
      </c>
      <c r="C52" s="1306">
        <v>1045450</v>
      </c>
      <c r="D52" s="1306">
        <v>924482</v>
      </c>
      <c r="F52" s="1300">
        <v>1</v>
      </c>
    </row>
    <row r="53" spans="1:6" x14ac:dyDescent="0.25">
      <c r="A53" s="1306">
        <v>50</v>
      </c>
      <c r="B53" s="1306">
        <v>1897596</v>
      </c>
      <c r="C53" s="1306">
        <v>1007022</v>
      </c>
      <c r="D53" s="1306">
        <v>890574</v>
      </c>
      <c r="F53" s="1300">
        <v>1</v>
      </c>
    </row>
    <row r="54" spans="1:6" x14ac:dyDescent="0.25">
      <c r="A54" s="1306">
        <v>51</v>
      </c>
      <c r="B54" s="1306">
        <v>1910168</v>
      </c>
      <c r="C54" s="1306">
        <v>1013640</v>
      </c>
      <c r="D54" s="1306">
        <v>896528</v>
      </c>
      <c r="F54" s="1300">
        <v>1</v>
      </c>
    </row>
    <row r="55" spans="1:6" x14ac:dyDescent="0.25">
      <c r="A55" s="1306">
        <v>52</v>
      </c>
      <c r="B55" s="1306">
        <v>1868244</v>
      </c>
      <c r="C55" s="1306">
        <v>993040</v>
      </c>
      <c r="D55" s="1306">
        <v>875204</v>
      </c>
      <c r="F55" s="1300">
        <v>1</v>
      </c>
    </row>
    <row r="56" spans="1:6" x14ac:dyDescent="0.25">
      <c r="A56" s="1306">
        <v>53</v>
      </c>
      <c r="B56" s="1306">
        <v>1787367</v>
      </c>
      <c r="C56" s="1306">
        <v>953499</v>
      </c>
      <c r="D56" s="1306">
        <v>833868</v>
      </c>
      <c r="F56" s="1300">
        <v>1</v>
      </c>
    </row>
    <row r="57" spans="1:6" x14ac:dyDescent="0.25">
      <c r="A57" s="1306">
        <v>54</v>
      </c>
      <c r="B57" s="1306">
        <v>1709886</v>
      </c>
      <c r="C57" s="1306">
        <v>916388</v>
      </c>
      <c r="D57" s="1306">
        <v>793498</v>
      </c>
      <c r="F57" s="1300">
        <v>1</v>
      </c>
    </row>
    <row r="58" spans="1:6" x14ac:dyDescent="0.25">
      <c r="A58" s="1306">
        <v>55</v>
      </c>
      <c r="B58" s="1306">
        <v>1663167</v>
      </c>
      <c r="C58" s="1306">
        <v>895280</v>
      </c>
      <c r="D58" s="1306">
        <v>767887</v>
      </c>
      <c r="F58" s="1300">
        <v>1</v>
      </c>
    </row>
    <row r="59" spans="1:6" x14ac:dyDescent="0.25">
      <c r="A59" s="1306">
        <v>56</v>
      </c>
      <c r="B59" s="1306">
        <v>1664242</v>
      </c>
      <c r="C59" s="1306">
        <v>900706</v>
      </c>
      <c r="D59" s="1306">
        <v>763536</v>
      </c>
      <c r="F59" s="1300">
        <v>1</v>
      </c>
    </row>
    <row r="60" spans="1:6" x14ac:dyDescent="0.25">
      <c r="A60" s="1306">
        <v>57</v>
      </c>
      <c r="B60" s="1306">
        <v>1726867</v>
      </c>
      <c r="C60" s="1306">
        <v>941499</v>
      </c>
      <c r="D60" s="1306">
        <v>785368</v>
      </c>
      <c r="F60" s="1300">
        <v>1</v>
      </c>
    </row>
    <row r="61" spans="1:6" x14ac:dyDescent="0.25">
      <c r="A61" s="1306">
        <v>58</v>
      </c>
      <c r="B61" s="1306">
        <v>1721587</v>
      </c>
      <c r="C61" s="1306">
        <v>945024</v>
      </c>
      <c r="D61" s="1306">
        <v>776563</v>
      </c>
      <c r="F61" s="1300">
        <v>1</v>
      </c>
    </row>
    <row r="62" spans="1:6" x14ac:dyDescent="0.25">
      <c r="A62" s="1306">
        <v>59</v>
      </c>
      <c r="B62" s="1306">
        <v>1792484</v>
      </c>
      <c r="C62" s="1306">
        <v>992906</v>
      </c>
      <c r="D62" s="1306">
        <v>799578</v>
      </c>
      <c r="F62" s="1300">
        <v>1</v>
      </c>
    </row>
    <row r="63" spans="1:6" x14ac:dyDescent="0.25">
      <c r="A63" s="1306">
        <v>60</v>
      </c>
      <c r="B63" s="1306">
        <v>1916323</v>
      </c>
      <c r="C63" s="1306">
        <v>1070587</v>
      </c>
      <c r="D63" s="1306">
        <v>845736</v>
      </c>
      <c r="F63" s="1300">
        <v>1</v>
      </c>
    </row>
    <row r="64" spans="1:6" x14ac:dyDescent="0.25">
      <c r="A64" s="1306">
        <v>61</v>
      </c>
      <c r="B64" s="1306">
        <v>1993769</v>
      </c>
      <c r="C64" s="1306">
        <v>1125157</v>
      </c>
      <c r="D64" s="1306">
        <v>868612</v>
      </c>
      <c r="F64" s="1300">
        <v>1</v>
      </c>
    </row>
    <row r="65" spans="1:6" x14ac:dyDescent="0.25">
      <c r="A65" s="1306">
        <v>62</v>
      </c>
      <c r="B65" s="1306">
        <v>2068048</v>
      </c>
      <c r="C65" s="1306">
        <v>1177376</v>
      </c>
      <c r="D65" s="1306">
        <v>890672</v>
      </c>
      <c r="F65" s="1300">
        <v>1</v>
      </c>
    </row>
    <row r="66" spans="1:6" x14ac:dyDescent="0.25">
      <c r="A66" s="1306">
        <v>63</v>
      </c>
      <c r="B66" s="1306">
        <v>2094987</v>
      </c>
      <c r="C66" s="1306">
        <v>1207518</v>
      </c>
      <c r="D66" s="1306">
        <v>887469</v>
      </c>
      <c r="F66" s="1300">
        <v>1</v>
      </c>
    </row>
    <row r="67" spans="1:6" x14ac:dyDescent="0.25">
      <c r="A67" s="1306">
        <v>64</v>
      </c>
      <c r="B67" s="1306">
        <v>2025482</v>
      </c>
      <c r="C67" s="1306">
        <v>1181565</v>
      </c>
      <c r="D67" s="1306">
        <v>843917</v>
      </c>
      <c r="F67" s="1300">
        <v>1</v>
      </c>
    </row>
    <row r="68" spans="1:6" x14ac:dyDescent="0.25">
      <c r="A68" s="1306">
        <v>65</v>
      </c>
      <c r="B68" s="1306">
        <v>1972211</v>
      </c>
      <c r="C68" s="1306">
        <v>1163527</v>
      </c>
      <c r="D68" s="1306">
        <v>808684</v>
      </c>
      <c r="F68" s="1300">
        <v>1</v>
      </c>
    </row>
    <row r="69" spans="1:6" x14ac:dyDescent="0.25">
      <c r="A69" s="1306">
        <v>66</v>
      </c>
      <c r="B69" s="1306">
        <v>1893922</v>
      </c>
      <c r="C69" s="1306">
        <v>1129820</v>
      </c>
      <c r="D69" s="1306">
        <v>764102</v>
      </c>
      <c r="F69" s="1300">
        <v>1</v>
      </c>
    </row>
    <row r="70" spans="1:6" x14ac:dyDescent="0.25">
      <c r="A70" s="1306">
        <v>67</v>
      </c>
      <c r="B70" s="1306">
        <v>1777792</v>
      </c>
      <c r="C70" s="1306">
        <v>1074475</v>
      </c>
      <c r="D70" s="1306">
        <v>703317</v>
      </c>
      <c r="F70" s="1300">
        <v>1</v>
      </c>
    </row>
    <row r="71" spans="1:6" x14ac:dyDescent="0.25">
      <c r="A71" s="1306">
        <v>68</v>
      </c>
      <c r="B71" s="1306">
        <v>1748945</v>
      </c>
      <c r="C71" s="1306">
        <v>1072119</v>
      </c>
      <c r="D71" s="1306">
        <v>676826</v>
      </c>
      <c r="F71" s="1300">
        <v>1</v>
      </c>
    </row>
    <row r="72" spans="1:6" x14ac:dyDescent="0.25">
      <c r="A72" s="1306">
        <v>69</v>
      </c>
      <c r="B72" s="1306">
        <v>1697932</v>
      </c>
      <c r="C72" s="1306">
        <v>1058421</v>
      </c>
      <c r="D72" s="1306">
        <v>639511</v>
      </c>
      <c r="F72" s="1300">
        <v>1</v>
      </c>
    </row>
    <row r="73" spans="1:6" x14ac:dyDescent="0.25">
      <c r="A73" s="1306">
        <v>70</v>
      </c>
      <c r="B73" s="1306">
        <v>1495764</v>
      </c>
      <c r="C73" s="1306">
        <v>942003</v>
      </c>
      <c r="D73" s="1306">
        <v>553761</v>
      </c>
      <c r="F73" s="1300">
        <v>1</v>
      </c>
    </row>
    <row r="74" spans="1:6" x14ac:dyDescent="0.25">
      <c r="A74" s="1306">
        <v>71</v>
      </c>
      <c r="B74" s="1306">
        <v>1476297</v>
      </c>
      <c r="C74" s="1306">
        <v>942687</v>
      </c>
      <c r="D74" s="1306">
        <v>533610</v>
      </c>
      <c r="F74" s="1300">
        <v>1</v>
      </c>
    </row>
    <row r="75" spans="1:6" x14ac:dyDescent="0.25">
      <c r="A75" s="1306">
        <v>72</v>
      </c>
      <c r="B75" s="1306">
        <v>1396215</v>
      </c>
      <c r="C75" s="1306">
        <v>903614</v>
      </c>
      <c r="D75" s="1306">
        <v>492601</v>
      </c>
      <c r="F75" s="1300">
        <v>1</v>
      </c>
    </row>
    <row r="76" spans="1:6" x14ac:dyDescent="0.25">
      <c r="A76" s="1306">
        <v>73</v>
      </c>
      <c r="B76" s="1306">
        <v>1274520</v>
      </c>
      <c r="C76" s="1306">
        <v>836293</v>
      </c>
      <c r="D76" s="1306">
        <v>438227</v>
      </c>
      <c r="F76" s="1300">
        <v>1</v>
      </c>
    </row>
    <row r="77" spans="1:6" x14ac:dyDescent="0.25">
      <c r="A77" s="1306">
        <v>74</v>
      </c>
      <c r="B77" s="1306">
        <v>1291715</v>
      </c>
      <c r="C77" s="1306">
        <v>861217</v>
      </c>
      <c r="D77" s="1306">
        <v>430498</v>
      </c>
      <c r="F77" s="1300">
        <v>1</v>
      </c>
    </row>
    <row r="78" spans="1:6" x14ac:dyDescent="0.25">
      <c r="A78" s="1306">
        <v>75</v>
      </c>
      <c r="B78" s="1306">
        <v>1027382</v>
      </c>
      <c r="C78" s="1306">
        <v>690942</v>
      </c>
      <c r="D78" s="1306">
        <v>336440</v>
      </c>
      <c r="F78" s="1300">
        <v>1</v>
      </c>
    </row>
    <row r="79" spans="1:6" x14ac:dyDescent="0.25">
      <c r="A79" s="1306">
        <v>76</v>
      </c>
      <c r="B79" s="1306">
        <v>961421</v>
      </c>
      <c r="C79" s="1306">
        <v>653298</v>
      </c>
      <c r="D79" s="1306">
        <v>308123</v>
      </c>
      <c r="F79" s="1300">
        <v>1</v>
      </c>
    </row>
    <row r="80" spans="1:6" x14ac:dyDescent="0.25">
      <c r="A80" s="1306">
        <v>77</v>
      </c>
      <c r="B80" s="1306">
        <v>828576</v>
      </c>
      <c r="C80" s="1306">
        <v>571999</v>
      </c>
      <c r="D80" s="1306">
        <v>256577</v>
      </c>
      <c r="F80" s="1300">
        <v>1</v>
      </c>
    </row>
    <row r="81" spans="1:6" x14ac:dyDescent="0.25">
      <c r="A81" s="1306">
        <v>78</v>
      </c>
      <c r="B81" s="1306">
        <v>460871</v>
      </c>
      <c r="C81" s="1306">
        <v>321810</v>
      </c>
      <c r="D81" s="1306">
        <v>139061</v>
      </c>
      <c r="F81" s="1300">
        <v>1</v>
      </c>
    </row>
    <row r="82" spans="1:6" x14ac:dyDescent="0.25">
      <c r="A82" s="1306">
        <v>79</v>
      </c>
      <c r="B82" s="1306">
        <v>341515</v>
      </c>
      <c r="C82" s="1306">
        <v>241791</v>
      </c>
      <c r="D82" s="1306">
        <v>99724</v>
      </c>
      <c r="F82" s="1300">
        <v>1</v>
      </c>
    </row>
    <row r="83" spans="1:6" x14ac:dyDescent="0.25">
      <c r="A83" s="1306">
        <v>80</v>
      </c>
      <c r="B83" s="1306">
        <v>289342</v>
      </c>
      <c r="C83" s="1306">
        <v>208665</v>
      </c>
      <c r="D83" s="1306">
        <v>80677</v>
      </c>
      <c r="F83" s="1300">
        <v>1</v>
      </c>
    </row>
    <row r="84" spans="1:6" x14ac:dyDescent="0.25">
      <c r="A84" s="1306">
        <v>81</v>
      </c>
      <c r="B84" s="1306">
        <v>409484</v>
      </c>
      <c r="C84" s="1306">
        <v>301997</v>
      </c>
      <c r="D84" s="1306">
        <v>107487</v>
      </c>
      <c r="F84" s="1300">
        <v>1</v>
      </c>
    </row>
    <row r="85" spans="1:6" x14ac:dyDescent="0.25">
      <c r="A85" s="1306">
        <v>82</v>
      </c>
      <c r="B85" s="1306">
        <v>612433</v>
      </c>
      <c r="C85" s="1306">
        <v>459443</v>
      </c>
      <c r="D85" s="1306">
        <v>152990</v>
      </c>
      <c r="F85" s="1300">
        <v>1</v>
      </c>
    </row>
    <row r="86" spans="1:6" x14ac:dyDescent="0.25">
      <c r="A86" s="1306">
        <v>83</v>
      </c>
      <c r="B86" s="1306">
        <v>592346</v>
      </c>
      <c r="C86" s="1306">
        <v>448776</v>
      </c>
      <c r="D86" s="1306">
        <v>143570</v>
      </c>
      <c r="F86" s="1300">
        <v>1</v>
      </c>
    </row>
    <row r="87" spans="1:6" x14ac:dyDescent="0.25">
      <c r="A87" s="1306">
        <v>84</v>
      </c>
      <c r="B87" s="1306">
        <v>611201</v>
      </c>
      <c r="C87" s="1306">
        <v>466529</v>
      </c>
      <c r="D87" s="1306">
        <v>144672</v>
      </c>
      <c r="F87" s="1300">
        <v>1</v>
      </c>
    </row>
    <row r="88" spans="1:6" x14ac:dyDescent="0.25">
      <c r="A88" s="1306">
        <v>85</v>
      </c>
      <c r="B88" s="1306">
        <v>551108</v>
      </c>
      <c r="C88" s="1306">
        <v>424516</v>
      </c>
      <c r="D88" s="1306">
        <v>126592</v>
      </c>
      <c r="F88" s="1300">
        <v>1</v>
      </c>
    </row>
    <row r="89" spans="1:6" x14ac:dyDescent="0.25">
      <c r="A89" s="1306">
        <v>86</v>
      </c>
      <c r="B89" s="1306">
        <v>488237</v>
      </c>
      <c r="C89" s="1306">
        <v>375496</v>
      </c>
      <c r="D89" s="1306">
        <v>112741</v>
      </c>
      <c r="F89" s="1300">
        <v>1</v>
      </c>
    </row>
    <row r="90" spans="1:6" x14ac:dyDescent="0.25">
      <c r="A90" s="1306">
        <v>87</v>
      </c>
      <c r="B90" s="1306">
        <v>337336</v>
      </c>
      <c r="C90" s="1306">
        <v>261666</v>
      </c>
      <c r="D90" s="1306">
        <v>75670</v>
      </c>
      <c r="F90" s="1300">
        <v>1</v>
      </c>
    </row>
    <row r="91" spans="1:6" x14ac:dyDescent="0.25">
      <c r="A91" s="1306">
        <v>88</v>
      </c>
      <c r="B91" s="1306">
        <v>255572</v>
      </c>
      <c r="C91" s="1306">
        <v>199142</v>
      </c>
      <c r="D91" s="1306">
        <v>56430</v>
      </c>
      <c r="F91" s="1300">
        <v>1</v>
      </c>
    </row>
    <row r="92" spans="1:6" x14ac:dyDescent="0.25">
      <c r="A92" s="1306">
        <v>89</v>
      </c>
      <c r="B92" s="1306">
        <v>173351</v>
      </c>
      <c r="C92" s="1306">
        <v>135894</v>
      </c>
      <c r="D92" s="1306">
        <v>37457</v>
      </c>
      <c r="F92" s="1300">
        <v>1</v>
      </c>
    </row>
    <row r="93" spans="1:6" x14ac:dyDescent="0.25">
      <c r="A93" s="1306">
        <v>90</v>
      </c>
      <c r="B93" s="1306">
        <v>138068</v>
      </c>
      <c r="C93" s="1306">
        <v>108689</v>
      </c>
      <c r="D93" s="1306">
        <v>29379</v>
      </c>
      <c r="F93" s="1300">
        <v>1</v>
      </c>
    </row>
    <row r="94" spans="1:6" x14ac:dyDescent="0.25">
      <c r="A94" s="1306">
        <v>91</v>
      </c>
      <c r="B94" s="1306">
        <v>137553</v>
      </c>
      <c r="C94" s="1306">
        <v>108722</v>
      </c>
      <c r="D94" s="1306">
        <v>28831</v>
      </c>
      <c r="F94" s="1300">
        <v>1</v>
      </c>
    </row>
    <row r="95" spans="1:6" x14ac:dyDescent="0.25">
      <c r="A95" s="1306">
        <v>92</v>
      </c>
      <c r="B95" s="1306">
        <v>112865</v>
      </c>
      <c r="C95" s="1306">
        <v>88934</v>
      </c>
      <c r="D95" s="1306">
        <v>23931</v>
      </c>
      <c r="F95" s="1300">
        <v>1</v>
      </c>
    </row>
    <row r="96" spans="1:6" x14ac:dyDescent="0.25">
      <c r="A96" s="1306">
        <v>93</v>
      </c>
      <c r="B96" s="1306">
        <v>101373</v>
      </c>
      <c r="C96" s="1306">
        <v>79696</v>
      </c>
      <c r="D96" s="1306">
        <v>21677</v>
      </c>
      <c r="F96" s="1300">
        <v>1</v>
      </c>
    </row>
    <row r="97" spans="1:6" x14ac:dyDescent="0.25">
      <c r="A97" s="1306">
        <v>94</v>
      </c>
      <c r="B97" s="1306">
        <v>78261</v>
      </c>
      <c r="C97" s="1306">
        <v>61868</v>
      </c>
      <c r="D97" s="1306">
        <v>16393</v>
      </c>
      <c r="F97" s="1300">
        <v>1</v>
      </c>
    </row>
    <row r="98" spans="1:6" x14ac:dyDescent="0.25">
      <c r="A98" s="1306">
        <v>95</v>
      </c>
      <c r="B98" s="1306">
        <v>63378</v>
      </c>
      <c r="C98" s="1306">
        <v>49702</v>
      </c>
      <c r="D98" s="1306">
        <v>13676</v>
      </c>
      <c r="F98" s="1300">
        <v>1</v>
      </c>
    </row>
    <row r="99" spans="1:6" x14ac:dyDescent="0.25">
      <c r="A99" s="1306">
        <v>96</v>
      </c>
      <c r="B99" s="1306">
        <v>46105</v>
      </c>
      <c r="C99" s="1306">
        <v>36128</v>
      </c>
      <c r="D99" s="1306">
        <v>9977</v>
      </c>
      <c r="F99" s="1300">
        <v>1</v>
      </c>
    </row>
    <row r="100" spans="1:6" x14ac:dyDescent="0.25">
      <c r="A100" s="1306">
        <v>97</v>
      </c>
      <c r="B100" s="1306">
        <v>34416</v>
      </c>
      <c r="C100" s="1306">
        <v>26968</v>
      </c>
      <c r="D100" s="1306">
        <v>7448</v>
      </c>
      <c r="F100" s="1300">
        <v>1</v>
      </c>
    </row>
    <row r="101" spans="1:6" x14ac:dyDescent="0.25">
      <c r="A101" s="1306">
        <v>98</v>
      </c>
      <c r="B101" s="1306">
        <v>24500</v>
      </c>
      <c r="C101" s="1306">
        <v>19482</v>
      </c>
      <c r="D101" s="1306">
        <v>5018</v>
      </c>
      <c r="F101" s="1300">
        <v>1</v>
      </c>
    </row>
    <row r="102" spans="1:6" x14ac:dyDescent="0.25">
      <c r="A102" s="1306">
        <v>99</v>
      </c>
      <c r="B102" s="1306">
        <v>18166</v>
      </c>
      <c r="C102" s="1306">
        <v>14306</v>
      </c>
      <c r="D102" s="1306">
        <v>3860</v>
      </c>
      <c r="F102" s="1300">
        <v>1</v>
      </c>
    </row>
    <row r="103" spans="1:6" x14ac:dyDescent="0.25">
      <c r="A103" s="1306">
        <v>100</v>
      </c>
      <c r="B103" s="1306">
        <v>11631</v>
      </c>
      <c r="C103" s="1306">
        <v>9493</v>
      </c>
      <c r="D103" s="1306">
        <v>2138</v>
      </c>
      <c r="F103" s="1300">
        <v>1</v>
      </c>
    </row>
    <row r="104" spans="1:6" x14ac:dyDescent="0.25">
      <c r="A104" s="1306">
        <v>101</v>
      </c>
      <c r="B104" s="1306">
        <v>5475</v>
      </c>
      <c r="C104" s="1306">
        <v>4521</v>
      </c>
      <c r="D104" s="1306">
        <v>954</v>
      </c>
      <c r="F104" s="1300">
        <v>1</v>
      </c>
    </row>
    <row r="105" spans="1:6" x14ac:dyDescent="0.25">
      <c r="A105" s="1306">
        <v>102</v>
      </c>
      <c r="B105" s="1306">
        <v>3560</v>
      </c>
      <c r="C105" s="1306">
        <v>2965</v>
      </c>
      <c r="D105" s="1306">
        <v>595</v>
      </c>
      <c r="F105" s="1300">
        <v>1</v>
      </c>
    </row>
    <row r="106" spans="1:6" x14ac:dyDescent="0.25">
      <c r="A106" s="1306">
        <v>103</v>
      </c>
      <c r="B106" s="1306">
        <v>2385</v>
      </c>
      <c r="C106" s="1306">
        <v>1957</v>
      </c>
      <c r="D106" s="1306">
        <v>428</v>
      </c>
      <c r="F106" s="1300">
        <v>1</v>
      </c>
    </row>
    <row r="107" spans="1:6" x14ac:dyDescent="0.25">
      <c r="A107" s="1306">
        <v>104</v>
      </c>
      <c r="B107" s="1306">
        <v>1684</v>
      </c>
      <c r="C107" s="1306">
        <v>1372</v>
      </c>
      <c r="D107" s="1306">
        <v>312</v>
      </c>
      <c r="F107" s="1300">
        <v>1</v>
      </c>
    </row>
    <row r="108" spans="1:6" x14ac:dyDescent="0.25">
      <c r="A108" s="1306">
        <v>105</v>
      </c>
      <c r="B108" s="1306">
        <v>1558</v>
      </c>
      <c r="C108" s="1306">
        <v>1294</v>
      </c>
      <c r="D108" s="1306">
        <v>264</v>
      </c>
      <c r="F108" s="1300">
        <v>1</v>
      </c>
    </row>
    <row r="109" spans="1:6" x14ac:dyDescent="0.25">
      <c r="A109" s="1306">
        <v>106</v>
      </c>
      <c r="B109" s="1306">
        <v>886</v>
      </c>
      <c r="C109" s="1306">
        <v>713</v>
      </c>
      <c r="D109" s="1306">
        <v>173</v>
      </c>
      <c r="F109" s="1300">
        <v>1</v>
      </c>
    </row>
    <row r="110" spans="1:6" x14ac:dyDescent="0.25">
      <c r="A110" s="1306">
        <v>107</v>
      </c>
      <c r="B110" s="1306">
        <v>766</v>
      </c>
      <c r="C110" s="1306">
        <v>624</v>
      </c>
      <c r="D110" s="1306">
        <v>142</v>
      </c>
      <c r="F110" s="1300">
        <v>1</v>
      </c>
    </row>
    <row r="111" spans="1:6" x14ac:dyDescent="0.25">
      <c r="A111" s="1306">
        <v>108</v>
      </c>
      <c r="B111" s="1306">
        <v>768</v>
      </c>
      <c r="C111" s="1306">
        <v>629</v>
      </c>
      <c r="D111" s="1306">
        <v>139</v>
      </c>
      <c r="F111" s="1300">
        <v>1</v>
      </c>
    </row>
    <row r="112" spans="1:6" x14ac:dyDescent="0.25">
      <c r="A112" s="1306">
        <v>109</v>
      </c>
      <c r="B112" s="1306">
        <v>696</v>
      </c>
      <c r="C112" s="1306">
        <v>575</v>
      </c>
      <c r="D112" s="1306">
        <v>121</v>
      </c>
      <c r="F112" s="1300">
        <v>1</v>
      </c>
    </row>
    <row r="113" spans="1:6" x14ac:dyDescent="0.25">
      <c r="A113" s="1306">
        <v>110</v>
      </c>
      <c r="B113" s="1306">
        <v>447</v>
      </c>
      <c r="C113" s="1306">
        <v>375</v>
      </c>
      <c r="D113" s="1306">
        <v>72</v>
      </c>
      <c r="F113" s="1300">
        <v>1</v>
      </c>
    </row>
    <row r="114" spans="1:6" x14ac:dyDescent="0.25">
      <c r="A114" s="1306">
        <v>111</v>
      </c>
      <c r="B114" s="1306">
        <v>362</v>
      </c>
      <c r="C114" s="1306">
        <v>302</v>
      </c>
      <c r="D114" s="1306">
        <v>60</v>
      </c>
      <c r="F114" s="1300">
        <v>1</v>
      </c>
    </row>
    <row r="115" spans="1:6" x14ac:dyDescent="0.25">
      <c r="A115" s="1306">
        <v>112</v>
      </c>
      <c r="B115" s="1306">
        <v>232</v>
      </c>
      <c r="C115" s="1306">
        <v>194</v>
      </c>
      <c r="D115" s="1306">
        <v>38</v>
      </c>
      <c r="F115" s="1300">
        <v>1</v>
      </c>
    </row>
    <row r="116" spans="1:6" x14ac:dyDescent="0.25">
      <c r="A116" s="1306">
        <v>113</v>
      </c>
      <c r="B116" s="1306">
        <v>184</v>
      </c>
      <c r="C116" s="1306">
        <v>159</v>
      </c>
      <c r="D116" s="1306">
        <v>25</v>
      </c>
      <c r="F116" s="1300">
        <v>1</v>
      </c>
    </row>
    <row r="117" spans="1:6" x14ac:dyDescent="0.25">
      <c r="A117" s="1306">
        <v>114</v>
      </c>
      <c r="B117" s="1306">
        <v>102</v>
      </c>
      <c r="C117" s="1306">
        <v>86</v>
      </c>
      <c r="D117" s="1306">
        <v>16</v>
      </c>
      <c r="F117" s="1300">
        <v>1</v>
      </c>
    </row>
    <row r="118" spans="1:6" x14ac:dyDescent="0.25">
      <c r="A118" s="1306">
        <v>115</v>
      </c>
      <c r="B118" s="1306">
        <v>66</v>
      </c>
      <c r="C118" s="1306">
        <v>55</v>
      </c>
      <c r="D118" s="1306">
        <v>11</v>
      </c>
      <c r="F118" s="1300">
        <v>1</v>
      </c>
    </row>
    <row r="119" spans="1:6" x14ac:dyDescent="0.25">
      <c r="A119" s="1306">
        <v>116</v>
      </c>
      <c r="B119" s="1306">
        <v>47</v>
      </c>
      <c r="C119" s="1306">
        <v>38</v>
      </c>
      <c r="D119" s="1306">
        <v>9</v>
      </c>
      <c r="F119" s="1300">
        <v>1</v>
      </c>
    </row>
    <row r="120" spans="1:6" x14ac:dyDescent="0.25">
      <c r="A120" s="1306">
        <v>117</v>
      </c>
      <c r="B120" s="1306">
        <v>21</v>
      </c>
      <c r="C120" s="1306">
        <v>16</v>
      </c>
      <c r="D120" s="1306">
        <v>5</v>
      </c>
      <c r="F120" s="1300">
        <v>1</v>
      </c>
    </row>
    <row r="121" spans="1:6" x14ac:dyDescent="0.25">
      <c r="A121" s="1306">
        <v>118</v>
      </c>
      <c r="B121" s="1306">
        <v>28</v>
      </c>
      <c r="C121" s="1306">
        <v>27</v>
      </c>
      <c r="D121" s="1306">
        <v>1</v>
      </c>
      <c r="F121" s="1300">
        <v>1</v>
      </c>
    </row>
    <row r="122" spans="1:6" x14ac:dyDescent="0.25">
      <c r="A122" s="1306">
        <v>119</v>
      </c>
      <c r="B122" s="1306">
        <v>11</v>
      </c>
      <c r="C122" s="1306">
        <v>11</v>
      </c>
      <c r="D122" s="1306">
        <v>0</v>
      </c>
      <c r="F122" s="1300">
        <v>1</v>
      </c>
    </row>
    <row r="123" spans="1:6" x14ac:dyDescent="0.25">
      <c r="A123" s="1306">
        <v>120</v>
      </c>
      <c r="B123" s="1306">
        <v>13</v>
      </c>
      <c r="C123" s="1306">
        <v>12</v>
      </c>
      <c r="D123" s="1306">
        <v>1</v>
      </c>
      <c r="F123" s="1300">
        <v>1</v>
      </c>
    </row>
    <row r="124" spans="1:6" x14ac:dyDescent="0.25">
      <c r="A124" s="1306">
        <v>121</v>
      </c>
      <c r="B124" s="1306">
        <v>4</v>
      </c>
      <c r="C124" s="1306">
        <v>3</v>
      </c>
      <c r="D124" s="1306">
        <v>1</v>
      </c>
      <c r="F124" s="1300">
        <v>1</v>
      </c>
    </row>
    <row r="125" spans="1:6" x14ac:dyDescent="0.25">
      <c r="A125" s="1306">
        <v>122</v>
      </c>
      <c r="B125" s="1306">
        <v>12</v>
      </c>
      <c r="C125" s="1306">
        <v>9</v>
      </c>
      <c r="D125" s="1306">
        <v>3</v>
      </c>
      <c r="F125" s="1300">
        <v>1</v>
      </c>
    </row>
    <row r="126" spans="1:6" x14ac:dyDescent="0.25">
      <c r="A126" s="1306">
        <v>123</v>
      </c>
      <c r="B126" s="1306">
        <v>17</v>
      </c>
      <c r="C126" s="1306">
        <v>13</v>
      </c>
      <c r="D126" s="1306">
        <v>4</v>
      </c>
      <c r="F126" s="1300">
        <v>1</v>
      </c>
    </row>
    <row r="127" spans="1:6" x14ac:dyDescent="0.25">
      <c r="A127" s="1306">
        <v>124</v>
      </c>
      <c r="B127" s="1306">
        <v>49</v>
      </c>
      <c r="C127" s="1306">
        <v>35</v>
      </c>
      <c r="D127" s="1306">
        <v>14</v>
      </c>
      <c r="F127" s="1300">
        <v>1</v>
      </c>
    </row>
  </sheetData>
  <mergeCells count="5">
    <mergeCell ref="A1:D1"/>
    <mergeCell ref="I1:K1"/>
    <mergeCell ref="I2:K2"/>
    <mergeCell ref="I4:K4"/>
    <mergeCell ref="I5:K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0D92-BD34-4122-9C24-0A763CAA2B60}">
  <sheetPr>
    <tabColor theme="9" tint="-0.249977111117893"/>
    <pageSetUpPr fitToPage="1"/>
  </sheetPr>
  <dimension ref="A1:M94"/>
  <sheetViews>
    <sheetView zoomScale="46" zoomScaleNormal="46" workbookViewId="0">
      <pane ySplit="9" topLeftCell="A10" activePane="bottomLeft" state="frozen"/>
      <selection activeCell="E13" sqref="E13"/>
      <selection pane="bottomLeft" activeCell="E13" sqref="E13"/>
    </sheetView>
  </sheetViews>
  <sheetFormatPr defaultRowHeight="12.75" x14ac:dyDescent="0.2"/>
  <cols>
    <col min="1" max="1" width="82.5703125" customWidth="1"/>
    <col min="2" max="2" width="32.42578125" customWidth="1"/>
    <col min="3" max="3" width="30.42578125" hidden="1" customWidth="1"/>
    <col min="4" max="6" width="31.7109375" hidden="1" customWidth="1"/>
    <col min="7" max="7" width="37.42578125" hidden="1" customWidth="1"/>
    <col min="8" max="8" width="37.7109375" hidden="1" customWidth="1"/>
    <col min="9" max="9" width="27.140625" customWidth="1"/>
    <col min="10" max="10" width="33.7109375" customWidth="1"/>
    <col min="11" max="12" width="27.140625" customWidth="1"/>
    <col min="13" max="13" width="108.140625" customWidth="1"/>
  </cols>
  <sheetData>
    <row r="1" spans="1:13" s="157" customFormat="1" ht="26.25" x14ac:dyDescent="0.4">
      <c r="A1" s="715" t="s">
        <v>534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</row>
    <row r="2" spans="1:13" s="157" customFormat="1" ht="26.25" x14ac:dyDescent="0.4">
      <c r="A2" s="501"/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</row>
    <row r="3" spans="1:13" s="157" customFormat="1" ht="26.25" x14ac:dyDescent="0.4">
      <c r="A3" s="501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</row>
    <row r="4" spans="1:13" s="157" customFormat="1" ht="26.25" x14ac:dyDescent="0.4"/>
    <row r="5" spans="1:13" s="157" customFormat="1" ht="27" thickBot="1" x14ac:dyDescent="0.45"/>
    <row r="6" spans="1:13" s="157" customFormat="1" ht="57" customHeight="1" x14ac:dyDescent="0.4">
      <c r="A6" s="1468" t="s">
        <v>83</v>
      </c>
      <c r="B6" s="1470" t="s">
        <v>84</v>
      </c>
      <c r="C6" s="1472" t="s">
        <v>473</v>
      </c>
      <c r="D6" s="1472"/>
      <c r="E6" s="1473" t="s">
        <v>379</v>
      </c>
      <c r="F6" s="1474"/>
      <c r="G6" s="1472" t="s">
        <v>474</v>
      </c>
      <c r="H6" s="1472"/>
      <c r="I6" s="1465" t="s">
        <v>535</v>
      </c>
      <c r="J6" s="1466"/>
      <c r="K6" s="1466"/>
      <c r="L6" s="1467"/>
      <c r="M6" s="1632" t="s">
        <v>694</v>
      </c>
    </row>
    <row r="7" spans="1:13" s="157" customFormat="1" ht="63.75" customHeight="1" x14ac:dyDescent="0.4">
      <c r="A7" s="1469"/>
      <c r="B7" s="1471"/>
      <c r="C7" s="1475" t="s">
        <v>532</v>
      </c>
      <c r="D7" s="1476" t="s">
        <v>123</v>
      </c>
      <c r="E7" s="1477" t="s">
        <v>532</v>
      </c>
      <c r="F7" s="1477" t="s">
        <v>123</v>
      </c>
      <c r="G7" s="1475" t="s">
        <v>532</v>
      </c>
      <c r="H7" s="1476" t="s">
        <v>123</v>
      </c>
      <c r="I7" s="1476" t="s">
        <v>475</v>
      </c>
      <c r="J7" s="1476"/>
      <c r="K7" s="1476" t="s">
        <v>371</v>
      </c>
      <c r="L7" s="1638"/>
      <c r="M7" s="1633"/>
    </row>
    <row r="8" spans="1:13" s="157" customFormat="1" ht="62.25" customHeight="1" thickBot="1" x14ac:dyDescent="0.45">
      <c r="A8" s="1640"/>
      <c r="B8" s="1641"/>
      <c r="C8" s="1636"/>
      <c r="D8" s="1637"/>
      <c r="E8" s="1635"/>
      <c r="F8" s="1635"/>
      <c r="G8" s="1636"/>
      <c r="H8" s="1637"/>
      <c r="I8" s="685" t="s">
        <v>372</v>
      </c>
      <c r="J8" s="686" t="s">
        <v>476</v>
      </c>
      <c r="K8" s="685" t="s">
        <v>372</v>
      </c>
      <c r="L8" s="687" t="s">
        <v>477</v>
      </c>
      <c r="M8" s="1634"/>
    </row>
    <row r="9" spans="1:13" s="336" customFormat="1" ht="27" thickBot="1" x14ac:dyDescent="0.45">
      <c r="A9" s="680">
        <v>1</v>
      </c>
      <c r="B9" s="681">
        <v>2</v>
      </c>
      <c r="C9" s="681">
        <v>3</v>
      </c>
      <c r="D9" s="681">
        <v>4</v>
      </c>
      <c r="E9" s="681"/>
      <c r="F9" s="681"/>
      <c r="G9" s="681">
        <v>5</v>
      </c>
      <c r="H9" s="681">
        <v>6</v>
      </c>
      <c r="I9" s="682">
        <v>7</v>
      </c>
      <c r="J9" s="683">
        <v>8</v>
      </c>
      <c r="K9" s="682">
        <v>9</v>
      </c>
      <c r="L9" s="684">
        <v>10</v>
      </c>
      <c r="M9" s="684">
        <v>10</v>
      </c>
    </row>
    <row r="10" spans="1:13" ht="76.5" x14ac:dyDescent="0.2">
      <c r="A10" s="337" t="e">
        <f>#REF!</f>
        <v>#REF!</v>
      </c>
      <c r="B10" s="337" t="e">
        <f>#REF!</f>
        <v>#REF!</v>
      </c>
      <c r="C10" s="360" t="e">
        <f>#REF!</f>
        <v>#REF!</v>
      </c>
      <c r="D10" s="360" t="e">
        <f>#REF!</f>
        <v>#REF!</v>
      </c>
      <c r="E10" s="475" t="e">
        <f>#REF!</f>
        <v>#REF!</v>
      </c>
      <c r="F10" s="475" t="e">
        <f>#REF!</f>
        <v>#REF!</v>
      </c>
      <c r="G10" s="366" t="e">
        <f>#REF!*$B$86*$B$87</f>
        <v>#REF!</v>
      </c>
      <c r="H10" s="366" t="e">
        <f>#REF!</f>
        <v>#REF!</v>
      </c>
      <c r="I10" s="360" t="e">
        <f>D10-C10</f>
        <v>#REF!</v>
      </c>
      <c r="J10" s="366" t="e">
        <f>H10-G10</f>
        <v>#REF!</v>
      </c>
      <c r="K10" s="367" t="e">
        <f>D10/C10</f>
        <v>#REF!</v>
      </c>
      <c r="L10" s="367" t="e">
        <f>H10/G10</f>
        <v>#REF!</v>
      </c>
      <c r="M10" s="832" t="e">
        <f>CONCATENATE(#REF!, " + ",#REF!)</f>
        <v>#REF!</v>
      </c>
    </row>
    <row r="11" spans="1:13" ht="48.75" customHeight="1" x14ac:dyDescent="0.2">
      <c r="A11" s="338" t="e">
        <f>#REF!</f>
        <v>#REF!</v>
      </c>
      <c r="B11" s="339" t="e">
        <f>#REF!</f>
        <v>#REF!</v>
      </c>
      <c r="C11" s="339" t="e">
        <f>#REF!</f>
        <v>#REF!</v>
      </c>
      <c r="D11" s="339" t="e">
        <f>#REF!</f>
        <v>#REF!</v>
      </c>
      <c r="E11" s="339" t="e">
        <f>#REF!</f>
        <v>#REF!</v>
      </c>
      <c r="F11" s="339" t="e">
        <f>#REF!</f>
        <v>#REF!</v>
      </c>
      <c r="G11" s="339" t="e">
        <f>#REF!</f>
        <v>#REF!</v>
      </c>
      <c r="H11" s="339" t="e">
        <f>#REF!</f>
        <v>#REF!</v>
      </c>
      <c r="I11" s="368" t="s">
        <v>125</v>
      </c>
      <c r="J11" s="361" t="s">
        <v>125</v>
      </c>
      <c r="K11" s="361" t="s">
        <v>125</v>
      </c>
      <c r="L11" s="361" t="s">
        <v>125</v>
      </c>
      <c r="M11" s="688"/>
    </row>
    <row r="12" spans="1:13" ht="62.25" customHeight="1" x14ac:dyDescent="0.2">
      <c r="A12" s="340" t="e">
        <f>#REF!</f>
        <v>#REF!</v>
      </c>
      <c r="B12" s="416" t="e">
        <f>#REF!</f>
        <v>#REF!</v>
      </c>
      <c r="C12" s="389" t="e">
        <f>#REF!</f>
        <v>#REF!</v>
      </c>
      <c r="D12" s="389" t="e">
        <f>#REF!</f>
        <v>#REF!</v>
      </c>
      <c r="E12" s="477" t="e">
        <f>#REF!</f>
        <v>#REF!</v>
      </c>
      <c r="F12" s="477" t="e">
        <f>#REF!</f>
        <v>#REF!</v>
      </c>
      <c r="G12" s="390" t="e">
        <f>#REF!*$B$86*$B$87</f>
        <v>#REF!</v>
      </c>
      <c r="H12" s="390" t="e">
        <f>#REF!</f>
        <v>#REF!</v>
      </c>
      <c r="I12" s="369" t="e">
        <f t="shared" ref="I12:I69" si="0">D12-C12</f>
        <v>#REF!</v>
      </c>
      <c r="J12" s="370" t="e">
        <f t="shared" ref="J12:J69" si="1">H12-G12</f>
        <v>#REF!</v>
      </c>
      <c r="K12" s="371" t="e">
        <f t="shared" ref="K12:K69" si="2">D12/C12</f>
        <v>#REF!</v>
      </c>
      <c r="L12" s="372" t="e">
        <f t="shared" ref="L12:L69" si="3">H12/G12</f>
        <v>#REF!</v>
      </c>
      <c r="M12" s="689" t="e">
        <f>CONCATENATE(#REF!, " + ",#REF!)</f>
        <v>#REF!</v>
      </c>
    </row>
    <row r="13" spans="1:13" ht="76.5" x14ac:dyDescent="0.2">
      <c r="A13" s="340" t="e">
        <f>#REF!</f>
        <v>#REF!</v>
      </c>
      <c r="B13" s="340" t="e">
        <f>#REF!</f>
        <v>#REF!</v>
      </c>
      <c r="C13" s="389" t="e">
        <f>#REF!</f>
        <v>#REF!</v>
      </c>
      <c r="D13" s="389" t="e">
        <f>#REF!</f>
        <v>#REF!</v>
      </c>
      <c r="E13" s="477" t="e">
        <f>#REF!</f>
        <v>#REF!</v>
      </c>
      <c r="F13" s="477" t="e">
        <f>#REF!</f>
        <v>#REF!</v>
      </c>
      <c r="G13" s="390" t="e">
        <f>#REF!*$B$86*$B$87</f>
        <v>#REF!</v>
      </c>
      <c r="H13" s="390" t="e">
        <f>#REF!</f>
        <v>#REF!</v>
      </c>
      <c r="I13" s="369" t="e">
        <f t="shared" si="0"/>
        <v>#REF!</v>
      </c>
      <c r="J13" s="370" t="e">
        <f t="shared" si="1"/>
        <v>#REF!</v>
      </c>
      <c r="K13" s="371" t="e">
        <f t="shared" si="2"/>
        <v>#REF!</v>
      </c>
      <c r="L13" s="372" t="e">
        <f t="shared" si="3"/>
        <v>#REF!</v>
      </c>
      <c r="M13" s="689" t="e">
        <f>CONCATENATE(#REF!, " + ",#REF!)</f>
        <v>#REF!</v>
      </c>
    </row>
    <row r="14" spans="1:13" ht="51" x14ac:dyDescent="0.2">
      <c r="A14" s="340" t="e">
        <f>#REF!</f>
        <v>#REF!</v>
      </c>
      <c r="B14" s="340" t="e">
        <f>#REF!</f>
        <v>#REF!</v>
      </c>
      <c r="C14" s="389" t="e">
        <f>#REF!</f>
        <v>#REF!</v>
      </c>
      <c r="D14" s="389" t="e">
        <f>#REF!</f>
        <v>#REF!</v>
      </c>
      <c r="E14" s="477" t="e">
        <f>#REF!</f>
        <v>#REF!</v>
      </c>
      <c r="F14" s="477" t="e">
        <f>#REF!</f>
        <v>#REF!</v>
      </c>
      <c r="G14" s="390" t="e">
        <f>#REF!*$B$86*$B$87</f>
        <v>#REF!</v>
      </c>
      <c r="H14" s="390" t="e">
        <f>#REF!</f>
        <v>#REF!</v>
      </c>
      <c r="I14" s="369" t="e">
        <f t="shared" si="0"/>
        <v>#REF!</v>
      </c>
      <c r="J14" s="370" t="e">
        <f t="shared" si="1"/>
        <v>#REF!</v>
      </c>
      <c r="K14" s="371" t="e">
        <f t="shared" si="2"/>
        <v>#REF!</v>
      </c>
      <c r="L14" s="372" t="e">
        <f t="shared" si="3"/>
        <v>#REF!</v>
      </c>
      <c r="M14" s="689" t="e">
        <f>CONCATENATE(#REF!, " + ",#REF!)</f>
        <v>#REF!</v>
      </c>
    </row>
    <row r="15" spans="1:13" ht="52.5" x14ac:dyDescent="0.2">
      <c r="A15" s="341" t="e">
        <f>#REF!</f>
        <v>#REF!</v>
      </c>
      <c r="B15" s="341" t="e">
        <f>#REF!</f>
        <v>#REF!</v>
      </c>
      <c r="C15" s="400" t="e">
        <f>#REF!</f>
        <v>#REF!</v>
      </c>
      <c r="D15" s="400" t="e">
        <f>#REF!</f>
        <v>#REF!</v>
      </c>
      <c r="E15" s="477" t="e">
        <f>#REF!</f>
        <v>#REF!</v>
      </c>
      <c r="F15" s="477" t="e">
        <f>#REF!</f>
        <v>#REF!</v>
      </c>
      <c r="G15" s="401" t="e">
        <f>#REF!*$B$86*$B$87</f>
        <v>#REF!</v>
      </c>
      <c r="H15" s="401" t="e">
        <f>#REF!</f>
        <v>#REF!</v>
      </c>
      <c r="I15" s="402" t="e">
        <f t="shared" si="0"/>
        <v>#REF!</v>
      </c>
      <c r="J15" s="403" t="e">
        <f t="shared" si="1"/>
        <v>#REF!</v>
      </c>
      <c r="K15" s="371" t="e">
        <f t="shared" ref="K15" si="4">D15/C15</f>
        <v>#REF!</v>
      </c>
      <c r="L15" s="372" t="e">
        <f t="shared" ref="L15" si="5">H15/G15</f>
        <v>#REF!</v>
      </c>
      <c r="M15" s="689" t="e">
        <f>CONCATENATE(#REF!, " + ",#REF!)</f>
        <v>#REF!</v>
      </c>
    </row>
    <row r="16" spans="1:13" ht="78.75" x14ac:dyDescent="0.2">
      <c r="A16" s="341" t="e">
        <f>#REF!</f>
        <v>#REF!</v>
      </c>
      <c r="B16" s="341" t="e">
        <f>#REF!</f>
        <v>#REF!</v>
      </c>
      <c r="C16" s="400" t="e">
        <f>#REF!</f>
        <v>#REF!</v>
      </c>
      <c r="D16" s="400" t="e">
        <f>#REF!</f>
        <v>#REF!</v>
      </c>
      <c r="E16" s="477" t="e">
        <f>#REF!</f>
        <v>#REF!</v>
      </c>
      <c r="F16" s="477" t="e">
        <f>#REF!</f>
        <v>#REF!</v>
      </c>
      <c r="G16" s="401" t="e">
        <f>#REF!*$B$86*$B$87</f>
        <v>#REF!</v>
      </c>
      <c r="H16" s="401" t="e">
        <f>#REF!</f>
        <v>#REF!</v>
      </c>
      <c r="I16" s="402" t="e">
        <f t="shared" si="0"/>
        <v>#REF!</v>
      </c>
      <c r="J16" s="403" t="e">
        <f t="shared" si="1"/>
        <v>#REF!</v>
      </c>
      <c r="K16" s="404"/>
      <c r="L16" s="405"/>
      <c r="M16" s="689" t="e">
        <f>CONCATENATE(#REF!, " + ",#REF!)</f>
        <v>#REF!</v>
      </c>
    </row>
    <row r="17" spans="1:13" ht="52.5" x14ac:dyDescent="0.2">
      <c r="A17" s="341" t="e">
        <f>#REF!</f>
        <v>#REF!</v>
      </c>
      <c r="B17" s="341" t="e">
        <f>#REF!</f>
        <v>#REF!</v>
      </c>
      <c r="C17" s="400" t="e">
        <f>#REF!</f>
        <v>#REF!</v>
      </c>
      <c r="D17" s="400" t="e">
        <f>#REF!</f>
        <v>#REF!</v>
      </c>
      <c r="E17" s="477" t="e">
        <f>#REF!</f>
        <v>#REF!</v>
      </c>
      <c r="F17" s="477" t="e">
        <f>#REF!</f>
        <v>#REF!</v>
      </c>
      <c r="G17" s="401" t="e">
        <f>#REF!*$B$86*$B$87</f>
        <v>#REF!</v>
      </c>
      <c r="H17" s="401" t="e">
        <f>#REF!</f>
        <v>#REF!</v>
      </c>
      <c r="I17" s="402" t="e">
        <f t="shared" si="0"/>
        <v>#REF!</v>
      </c>
      <c r="J17" s="403" t="e">
        <f t="shared" si="1"/>
        <v>#REF!</v>
      </c>
      <c r="K17" s="404"/>
      <c r="L17" s="405"/>
      <c r="M17" s="689" t="e">
        <f>CONCATENATE(#REF!, " + ",#REF!)</f>
        <v>#REF!</v>
      </c>
    </row>
    <row r="18" spans="1:13" ht="52.5" x14ac:dyDescent="0.2">
      <c r="A18" s="341" t="e">
        <f>#REF!</f>
        <v>#REF!</v>
      </c>
      <c r="B18" s="341" t="e">
        <f>#REF!</f>
        <v>#REF!</v>
      </c>
      <c r="C18" s="400" t="e">
        <f>#REF!</f>
        <v>#REF!</v>
      </c>
      <c r="D18" s="400" t="e">
        <f>#REF!</f>
        <v>#REF!</v>
      </c>
      <c r="E18" s="477" t="e">
        <f>#REF!</f>
        <v>#REF!</v>
      </c>
      <c r="F18" s="477" t="e">
        <f>#REF!</f>
        <v>#REF!</v>
      </c>
      <c r="G18" s="401" t="e">
        <f>#REF!*$B$86*$B$87</f>
        <v>#REF!</v>
      </c>
      <c r="H18" s="401" t="e">
        <f>#REF!</f>
        <v>#REF!</v>
      </c>
      <c r="I18" s="402" t="e">
        <f t="shared" si="0"/>
        <v>#REF!</v>
      </c>
      <c r="J18" s="403" t="e">
        <f t="shared" si="1"/>
        <v>#REF!</v>
      </c>
      <c r="K18" s="404"/>
      <c r="L18" s="405"/>
      <c r="M18" s="689" t="e">
        <f>CONCATENATE(#REF!, " + ",#REF!)</f>
        <v>#REF!</v>
      </c>
    </row>
    <row r="19" spans="1:13" ht="60" x14ac:dyDescent="0.2">
      <c r="A19" s="340" t="e">
        <f>#REF!</f>
        <v>#REF!</v>
      </c>
      <c r="B19" s="340" t="e">
        <f>#REF!</f>
        <v>#REF!</v>
      </c>
      <c r="C19" s="389" t="e">
        <f>#REF!</f>
        <v>#REF!</v>
      </c>
      <c r="D19" s="389" t="e">
        <f>#REF!</f>
        <v>#REF!</v>
      </c>
      <c r="E19" s="477" t="e">
        <f>#REF!</f>
        <v>#REF!</v>
      </c>
      <c r="F19" s="477" t="e">
        <f>#REF!</f>
        <v>#REF!</v>
      </c>
      <c r="G19" s="390" t="e">
        <f>#REF!*$B$86*$B$87</f>
        <v>#REF!</v>
      </c>
      <c r="H19" s="390" t="e">
        <f>#REF!</f>
        <v>#REF!</v>
      </c>
      <c r="I19" s="369" t="e">
        <f t="shared" si="0"/>
        <v>#REF!</v>
      </c>
      <c r="J19" s="370" t="e">
        <f t="shared" si="1"/>
        <v>#REF!</v>
      </c>
      <c r="K19" s="371" t="e">
        <f t="shared" si="2"/>
        <v>#REF!</v>
      </c>
      <c r="L19" s="372" t="e">
        <f t="shared" si="3"/>
        <v>#REF!</v>
      </c>
      <c r="M19" s="689" t="e">
        <f>CONCATENATE(#REF!, " + ",#REF!)</f>
        <v>#REF!</v>
      </c>
    </row>
    <row r="20" spans="1:13" ht="30" x14ac:dyDescent="0.2">
      <c r="A20" s="340" t="e">
        <f>#REF!</f>
        <v>#REF!</v>
      </c>
      <c r="B20" s="340" t="e">
        <f>#REF!</f>
        <v>#REF!</v>
      </c>
      <c r="C20" s="389" t="e">
        <f>#REF!</f>
        <v>#REF!</v>
      </c>
      <c r="D20" s="389" t="e">
        <f>#REF!</f>
        <v>#REF!</v>
      </c>
      <c r="E20" s="477" t="e">
        <f>#REF!</f>
        <v>#REF!</v>
      </c>
      <c r="F20" s="477" t="e">
        <f>#REF!</f>
        <v>#REF!</v>
      </c>
      <c r="G20" s="390" t="e">
        <f>#REF!*$B$86*$B$87</f>
        <v>#REF!</v>
      </c>
      <c r="H20" s="390" t="e">
        <f>#REF!</f>
        <v>#REF!</v>
      </c>
      <c r="I20" s="369" t="e">
        <f t="shared" si="0"/>
        <v>#REF!</v>
      </c>
      <c r="J20" s="370" t="e">
        <f t="shared" si="1"/>
        <v>#REF!</v>
      </c>
      <c r="K20" s="371" t="e">
        <f t="shared" si="2"/>
        <v>#REF!</v>
      </c>
      <c r="L20" s="372" t="e">
        <f t="shared" si="3"/>
        <v>#REF!</v>
      </c>
      <c r="M20" s="689" t="e">
        <f>CONCATENATE(#REF!, " + ",#REF!)</f>
        <v>#REF!</v>
      </c>
    </row>
    <row r="21" spans="1:13" ht="60" x14ac:dyDescent="0.2">
      <c r="A21" s="340" t="e">
        <f>#REF!</f>
        <v>#REF!</v>
      </c>
      <c r="B21" s="340" t="e">
        <f>#REF!</f>
        <v>#REF!</v>
      </c>
      <c r="C21" s="389" t="e">
        <f>#REF!</f>
        <v>#REF!</v>
      </c>
      <c r="D21" s="389" t="e">
        <f>#REF!</f>
        <v>#REF!</v>
      </c>
      <c r="E21" s="477" t="e">
        <f>#REF!</f>
        <v>#REF!</v>
      </c>
      <c r="F21" s="477" t="e">
        <f>#REF!</f>
        <v>#REF!</v>
      </c>
      <c r="G21" s="390" t="e">
        <f>#REF!*$B$86*$B$87</f>
        <v>#REF!</v>
      </c>
      <c r="H21" s="390" t="e">
        <f>#REF!</f>
        <v>#REF!</v>
      </c>
      <c r="I21" s="369" t="e">
        <f t="shared" si="0"/>
        <v>#REF!</v>
      </c>
      <c r="J21" s="370" t="e">
        <f t="shared" si="1"/>
        <v>#REF!</v>
      </c>
      <c r="K21" s="371" t="e">
        <f t="shared" si="2"/>
        <v>#REF!</v>
      </c>
      <c r="L21" s="372" t="e">
        <f t="shared" si="3"/>
        <v>#REF!</v>
      </c>
      <c r="M21" s="689" t="e">
        <f>CONCATENATE(#REF!, " + ",#REF!)</f>
        <v>#REF!</v>
      </c>
    </row>
    <row r="22" spans="1:13" ht="49.5" customHeight="1" x14ac:dyDescent="0.2">
      <c r="A22" s="342" t="e">
        <f>#REF!</f>
        <v>#REF!</v>
      </c>
      <c r="B22" s="342" t="e">
        <f>#REF!</f>
        <v>#REF!</v>
      </c>
      <c r="C22" s="389"/>
      <c r="D22" s="389"/>
      <c r="E22" s="477"/>
      <c r="F22" s="477"/>
      <c r="G22" s="390"/>
      <c r="H22" s="390"/>
      <c r="I22" s="369"/>
      <c r="J22" s="370"/>
      <c r="K22" s="371"/>
      <c r="L22" s="372"/>
      <c r="M22" s="689" t="e">
        <f>CONCATENATE(#REF!, " + ",#REF!)</f>
        <v>#REF!</v>
      </c>
    </row>
    <row r="23" spans="1:13" ht="30.75" x14ac:dyDescent="0.2">
      <c r="A23" s="342" t="e">
        <f>#REF!</f>
        <v>#REF!</v>
      </c>
      <c r="B23" s="342" t="e">
        <f>#REF!</f>
        <v>#REF!</v>
      </c>
      <c r="C23" s="400" t="e">
        <f>#REF!</f>
        <v>#REF!</v>
      </c>
      <c r="D23" s="400" t="e">
        <f>#REF!</f>
        <v>#REF!</v>
      </c>
      <c r="E23" s="477" t="e">
        <f>#REF!</f>
        <v>#REF!</v>
      </c>
      <c r="F23" s="477" t="e">
        <f>#REF!</f>
        <v>#REF!</v>
      </c>
      <c r="G23" s="401" t="e">
        <f>#REF!*$B$86*$B$87</f>
        <v>#REF!</v>
      </c>
      <c r="H23" s="401" t="e">
        <f>#REF!</f>
        <v>#REF!</v>
      </c>
      <c r="I23" s="402" t="e">
        <f t="shared" si="0"/>
        <v>#REF!</v>
      </c>
      <c r="J23" s="403" t="e">
        <f t="shared" si="1"/>
        <v>#REF!</v>
      </c>
      <c r="K23" s="404" t="e">
        <f t="shared" si="2"/>
        <v>#REF!</v>
      </c>
      <c r="L23" s="405" t="e">
        <f t="shared" si="3"/>
        <v>#REF!</v>
      </c>
      <c r="M23" s="689" t="e">
        <f>CONCATENATE(#REF!, " + ",#REF!)</f>
        <v>#REF!</v>
      </c>
    </row>
    <row r="24" spans="1:13" ht="30.75" x14ac:dyDescent="0.2">
      <c r="A24" s="342" t="e">
        <f>#REF!</f>
        <v>#REF!</v>
      </c>
      <c r="B24" s="342" t="e">
        <f>#REF!</f>
        <v>#REF!</v>
      </c>
      <c r="C24" s="400" t="e">
        <f>#REF!</f>
        <v>#REF!</v>
      </c>
      <c r="D24" s="400" t="e">
        <f>#REF!</f>
        <v>#REF!</v>
      </c>
      <c r="E24" s="477" t="e">
        <f>#REF!</f>
        <v>#REF!</v>
      </c>
      <c r="F24" s="477" t="e">
        <f>#REF!</f>
        <v>#REF!</v>
      </c>
      <c r="G24" s="401" t="e">
        <f>#REF!*$B$86*$B$87</f>
        <v>#REF!</v>
      </c>
      <c r="H24" s="401" t="e">
        <f>#REF!</f>
        <v>#REF!</v>
      </c>
      <c r="I24" s="402" t="e">
        <f t="shared" si="0"/>
        <v>#REF!</v>
      </c>
      <c r="J24" s="403" t="e">
        <f t="shared" si="1"/>
        <v>#REF!</v>
      </c>
      <c r="K24" s="404" t="e">
        <f t="shared" si="2"/>
        <v>#REF!</v>
      </c>
      <c r="L24" s="405" t="e">
        <f t="shared" si="3"/>
        <v>#REF!</v>
      </c>
      <c r="M24" s="689" t="e">
        <f>CONCATENATE(#REF!, " + ",#REF!)</f>
        <v>#REF!</v>
      </c>
    </row>
    <row r="25" spans="1:13" ht="52.5" x14ac:dyDescent="0.2">
      <c r="A25" s="342" t="e">
        <f>#REF!</f>
        <v>#REF!</v>
      </c>
      <c r="B25" s="342" t="e">
        <f>#REF!</f>
        <v>#REF!</v>
      </c>
      <c r="C25" s="400" t="e">
        <f>#REF!</f>
        <v>#REF!</v>
      </c>
      <c r="D25" s="400" t="e">
        <f>#REF!</f>
        <v>#REF!</v>
      </c>
      <c r="E25" s="477" t="e">
        <f>#REF!</f>
        <v>#REF!</v>
      </c>
      <c r="F25" s="477" t="e">
        <f>#REF!</f>
        <v>#REF!</v>
      </c>
      <c r="G25" s="401" t="e">
        <f>#REF!*$B$86*$B$87</f>
        <v>#REF!</v>
      </c>
      <c r="H25" s="401" t="e">
        <f>#REF!</f>
        <v>#REF!</v>
      </c>
      <c r="I25" s="402" t="e">
        <f t="shared" si="0"/>
        <v>#REF!</v>
      </c>
      <c r="J25" s="403" t="e">
        <f t="shared" si="1"/>
        <v>#REF!</v>
      </c>
      <c r="K25" s="404" t="e">
        <f t="shared" si="2"/>
        <v>#REF!</v>
      </c>
      <c r="L25" s="405" t="e">
        <f t="shared" si="3"/>
        <v>#REF!</v>
      </c>
      <c r="M25" s="689" t="e">
        <f>CONCATENATE(#REF!, " + ",#REF!)</f>
        <v>#REF!</v>
      </c>
    </row>
    <row r="26" spans="1:13" ht="52.5" x14ac:dyDescent="0.2">
      <c r="A26" s="342" t="e">
        <f>#REF!</f>
        <v>#REF!</v>
      </c>
      <c r="B26" s="342" t="e">
        <f>#REF!</f>
        <v>#REF!</v>
      </c>
      <c r="C26" s="400" t="e">
        <f>#REF!</f>
        <v>#REF!</v>
      </c>
      <c r="D26" s="400" t="e">
        <f>#REF!</f>
        <v>#REF!</v>
      </c>
      <c r="E26" s="477" t="e">
        <f>#REF!</f>
        <v>#REF!</v>
      </c>
      <c r="F26" s="477" t="e">
        <f>#REF!</f>
        <v>#REF!</v>
      </c>
      <c r="G26" s="401" t="e">
        <f>#REF!*$B$86*$B$87</f>
        <v>#REF!</v>
      </c>
      <c r="H26" s="401" t="e">
        <f>#REF!</f>
        <v>#REF!</v>
      </c>
      <c r="I26" s="402" t="e">
        <f t="shared" si="0"/>
        <v>#REF!</v>
      </c>
      <c r="J26" s="403" t="e">
        <f t="shared" si="1"/>
        <v>#REF!</v>
      </c>
      <c r="K26" s="404" t="e">
        <f t="shared" si="2"/>
        <v>#REF!</v>
      </c>
      <c r="L26" s="405" t="e">
        <f t="shared" si="3"/>
        <v>#REF!</v>
      </c>
      <c r="M26" s="689" t="e">
        <f>CONCATENATE(#REF!, " + ",#REF!)</f>
        <v>#REF!</v>
      </c>
    </row>
    <row r="27" spans="1:13" ht="78.75" x14ac:dyDescent="0.2">
      <c r="A27" s="342" t="e">
        <f>#REF!</f>
        <v>#REF!</v>
      </c>
      <c r="B27" s="342" t="e">
        <f>#REF!</f>
        <v>#REF!</v>
      </c>
      <c r="C27" s="400" t="e">
        <f>#REF!</f>
        <v>#REF!</v>
      </c>
      <c r="D27" s="400" t="e">
        <f>#REF!</f>
        <v>#REF!</v>
      </c>
      <c r="E27" s="477" t="e">
        <f>#REF!</f>
        <v>#REF!</v>
      </c>
      <c r="F27" s="477" t="e">
        <f>#REF!</f>
        <v>#REF!</v>
      </c>
      <c r="G27" s="401" t="e">
        <f>#REF!*$B$86*$B$87</f>
        <v>#REF!</v>
      </c>
      <c r="H27" s="401" t="e">
        <f>#REF!</f>
        <v>#REF!</v>
      </c>
      <c r="I27" s="402" t="e">
        <f t="shared" si="0"/>
        <v>#REF!</v>
      </c>
      <c r="J27" s="403" t="e">
        <f t="shared" si="1"/>
        <v>#REF!</v>
      </c>
      <c r="K27" s="404" t="e">
        <f t="shared" si="2"/>
        <v>#REF!</v>
      </c>
      <c r="L27" s="405" t="e">
        <f t="shared" si="3"/>
        <v>#REF!</v>
      </c>
      <c r="M27" s="689" t="e">
        <f>CONCATENATE(#REF!, " + ",#REF!)</f>
        <v>#REF!</v>
      </c>
    </row>
    <row r="28" spans="1:13" ht="131.25" x14ac:dyDescent="0.2">
      <c r="A28" s="342" t="e">
        <f>#REF!</f>
        <v>#REF!</v>
      </c>
      <c r="B28" s="342" t="e">
        <f>#REF!</f>
        <v>#REF!</v>
      </c>
      <c r="C28" s="400" t="e">
        <f>#REF!</f>
        <v>#REF!</v>
      </c>
      <c r="D28" s="400" t="e">
        <f>#REF!</f>
        <v>#REF!</v>
      </c>
      <c r="E28" s="477" t="e">
        <f>#REF!</f>
        <v>#REF!</v>
      </c>
      <c r="F28" s="477" t="e">
        <f>#REF!</f>
        <v>#REF!</v>
      </c>
      <c r="G28" s="401" t="e">
        <f>#REF!*$B$86*$B$87</f>
        <v>#REF!</v>
      </c>
      <c r="H28" s="401" t="e">
        <f>#REF!</f>
        <v>#REF!</v>
      </c>
      <c r="I28" s="402" t="e">
        <f t="shared" si="0"/>
        <v>#REF!</v>
      </c>
      <c r="J28" s="403" t="e">
        <f t="shared" si="1"/>
        <v>#REF!</v>
      </c>
      <c r="K28" s="404" t="e">
        <f t="shared" si="2"/>
        <v>#REF!</v>
      </c>
      <c r="L28" s="405" t="e">
        <f t="shared" si="3"/>
        <v>#REF!</v>
      </c>
      <c r="M28" s="689" t="e">
        <f>CONCATENATE(#REF!, " + ",#REF!)</f>
        <v>#REF!</v>
      </c>
    </row>
    <row r="29" spans="1:13" ht="60" x14ac:dyDescent="0.2">
      <c r="A29" s="341" t="e">
        <f>#REF!</f>
        <v>#REF!</v>
      </c>
      <c r="B29" s="342" t="e">
        <f>#REF!</f>
        <v>#REF!</v>
      </c>
      <c r="C29" s="400" t="e">
        <f>#REF!</f>
        <v>#REF!</v>
      </c>
      <c r="D29" s="400" t="e">
        <f>#REF!</f>
        <v>#REF!</v>
      </c>
      <c r="E29" s="477" t="e">
        <f>#REF!</f>
        <v>#REF!</v>
      </c>
      <c r="F29" s="477" t="e">
        <f>#REF!</f>
        <v>#REF!</v>
      </c>
      <c r="G29" s="401" t="e">
        <f>#REF!*$B$86*$B$87</f>
        <v>#REF!</v>
      </c>
      <c r="H29" s="401" t="e">
        <f>#REF!</f>
        <v>#REF!</v>
      </c>
      <c r="I29" s="402" t="e">
        <f t="shared" si="0"/>
        <v>#REF!</v>
      </c>
      <c r="J29" s="403" t="e">
        <f t="shared" si="1"/>
        <v>#REF!</v>
      </c>
      <c r="K29" s="404"/>
      <c r="L29" s="405"/>
      <c r="M29" s="689" t="e">
        <f>CONCATENATE(#REF!, " + ",#REF!)</f>
        <v>#REF!</v>
      </c>
    </row>
    <row r="30" spans="1:13" ht="52.5" x14ac:dyDescent="0.2">
      <c r="A30" s="341" t="e">
        <f>#REF!</f>
        <v>#REF!</v>
      </c>
      <c r="B30" s="342" t="e">
        <f>#REF!</f>
        <v>#REF!</v>
      </c>
      <c r="C30" s="400" t="e">
        <f>#REF!</f>
        <v>#REF!</v>
      </c>
      <c r="D30" s="400" t="e">
        <f>#REF!</f>
        <v>#REF!</v>
      </c>
      <c r="E30" s="477" t="e">
        <f>#REF!</f>
        <v>#REF!</v>
      </c>
      <c r="F30" s="477" t="e">
        <f>#REF!</f>
        <v>#REF!</v>
      </c>
      <c r="G30" s="401" t="e">
        <f>#REF!*$B$86*$B$87</f>
        <v>#REF!</v>
      </c>
      <c r="H30" s="401" t="e">
        <f>#REF!</f>
        <v>#REF!</v>
      </c>
      <c r="I30" s="402" t="e">
        <f t="shared" si="0"/>
        <v>#REF!</v>
      </c>
      <c r="J30" s="403" t="e">
        <f t="shared" si="1"/>
        <v>#REF!</v>
      </c>
      <c r="K30" s="404"/>
      <c r="L30" s="405"/>
      <c r="M30" s="689" t="e">
        <f>CONCATENATE(#REF!, " + ",#REF!)</f>
        <v>#REF!</v>
      </c>
    </row>
    <row r="31" spans="1:13" ht="51" x14ac:dyDescent="0.2">
      <c r="A31" s="343" t="e">
        <f>#REF!</f>
        <v>#REF!</v>
      </c>
      <c r="B31" s="340" t="e">
        <f>#REF!</f>
        <v>#REF!</v>
      </c>
      <c r="C31" s="389" t="e">
        <f>#REF!</f>
        <v>#REF!</v>
      </c>
      <c r="D31" s="389" t="e">
        <f>#REF!</f>
        <v>#REF!</v>
      </c>
      <c r="E31" s="477" t="e">
        <f>#REF!</f>
        <v>#REF!</v>
      </c>
      <c r="F31" s="477" t="e">
        <f>#REF!</f>
        <v>#REF!</v>
      </c>
      <c r="G31" s="390" t="e">
        <f>#REF!*$B$86*$B$87</f>
        <v>#REF!</v>
      </c>
      <c r="H31" s="390" t="e">
        <f>#REF!</f>
        <v>#REF!</v>
      </c>
      <c r="I31" s="369" t="e">
        <f t="shared" si="0"/>
        <v>#REF!</v>
      </c>
      <c r="J31" s="370" t="e">
        <f t="shared" si="1"/>
        <v>#REF!</v>
      </c>
      <c r="K31" s="371" t="e">
        <f t="shared" si="2"/>
        <v>#REF!</v>
      </c>
      <c r="L31" s="372" t="e">
        <f t="shared" si="3"/>
        <v>#REF!</v>
      </c>
      <c r="M31" s="689" t="e">
        <f>CONCATENATE(#REF!, " + ",#REF!)</f>
        <v>#REF!</v>
      </c>
    </row>
    <row r="32" spans="1:13" ht="52.5" x14ac:dyDescent="0.2">
      <c r="A32" s="341" t="e">
        <f>#REF!</f>
        <v>#REF!</v>
      </c>
      <c r="B32" s="342" t="e">
        <f>#REF!</f>
        <v>#REF!</v>
      </c>
      <c r="C32" s="400" t="e">
        <f>#REF!</f>
        <v>#REF!</v>
      </c>
      <c r="D32" s="400" t="e">
        <f>#REF!</f>
        <v>#REF!</v>
      </c>
      <c r="E32" s="477" t="e">
        <f>#REF!</f>
        <v>#REF!</v>
      </c>
      <c r="F32" s="477" t="e">
        <f>#REF!</f>
        <v>#REF!</v>
      </c>
      <c r="G32" s="401" t="e">
        <f>#REF!*$B$86*$B$87</f>
        <v>#REF!</v>
      </c>
      <c r="H32" s="401" t="e">
        <f>#REF!</f>
        <v>#REF!</v>
      </c>
      <c r="I32" s="402" t="e">
        <f t="shared" si="0"/>
        <v>#REF!</v>
      </c>
      <c r="J32" s="403" t="e">
        <f t="shared" si="1"/>
        <v>#REF!</v>
      </c>
      <c r="K32" s="371" t="e">
        <f t="shared" ref="K32" si="6">D32/C32</f>
        <v>#REF!</v>
      </c>
      <c r="L32" s="372" t="e">
        <f t="shared" ref="L32" si="7">H32/G32</f>
        <v>#REF!</v>
      </c>
      <c r="M32" s="689" t="e">
        <f>CONCATENATE(#REF!, " + ",#REF!)</f>
        <v>#REF!</v>
      </c>
    </row>
    <row r="33" spans="1:13" ht="52.5" x14ac:dyDescent="0.2">
      <c r="A33" s="341" t="e">
        <f>#REF!</f>
        <v>#REF!</v>
      </c>
      <c r="B33" s="342" t="e">
        <f>#REF!</f>
        <v>#REF!</v>
      </c>
      <c r="C33" s="400" t="e">
        <f>#REF!</f>
        <v>#REF!</v>
      </c>
      <c r="D33" s="400" t="e">
        <f>#REF!</f>
        <v>#REF!</v>
      </c>
      <c r="E33" s="477" t="e">
        <f>#REF!</f>
        <v>#REF!</v>
      </c>
      <c r="F33" s="477" t="e">
        <f>#REF!</f>
        <v>#REF!</v>
      </c>
      <c r="G33" s="401" t="e">
        <f>#REF!*$B$86*$B$87</f>
        <v>#REF!</v>
      </c>
      <c r="H33" s="401" t="e">
        <f>#REF!</f>
        <v>#REF!</v>
      </c>
      <c r="I33" s="402" t="e">
        <f t="shared" ref="I33:I34" si="8">D33-C33</f>
        <v>#REF!</v>
      </c>
      <c r="J33" s="403" t="e">
        <f t="shared" ref="J33:J34" si="9">H33-G33</f>
        <v>#REF!</v>
      </c>
      <c r="K33" s="371" t="e">
        <f t="shared" ref="K33" si="10">D33/C33</f>
        <v>#REF!</v>
      </c>
      <c r="L33" s="372" t="e">
        <f t="shared" ref="L33" si="11">H33/G33</f>
        <v>#REF!</v>
      </c>
      <c r="M33" s="689" t="e">
        <f>CONCATENATE(#REF!, " + ",#REF!)</f>
        <v>#REF!</v>
      </c>
    </row>
    <row r="34" spans="1:13" ht="52.5" x14ac:dyDescent="0.2">
      <c r="A34" s="341" t="e">
        <f>#REF!</f>
        <v>#REF!</v>
      </c>
      <c r="B34" s="342" t="e">
        <f>#REF!</f>
        <v>#REF!</v>
      </c>
      <c r="C34" s="400" t="e">
        <f>#REF!</f>
        <v>#REF!</v>
      </c>
      <c r="D34" s="400" t="e">
        <f>#REF!</f>
        <v>#REF!</v>
      </c>
      <c r="E34" s="477" t="e">
        <f>#REF!</f>
        <v>#REF!</v>
      </c>
      <c r="F34" s="477" t="e">
        <f>#REF!</f>
        <v>#REF!</v>
      </c>
      <c r="G34" s="401" t="e">
        <f>#REF!*$B$86*$B$87</f>
        <v>#REF!</v>
      </c>
      <c r="H34" s="401" t="e">
        <f>#REF!</f>
        <v>#REF!</v>
      </c>
      <c r="I34" s="402" t="e">
        <f t="shared" si="8"/>
        <v>#REF!</v>
      </c>
      <c r="J34" s="403" t="e">
        <f t="shared" si="9"/>
        <v>#REF!</v>
      </c>
      <c r="K34" s="371"/>
      <c r="L34" s="372"/>
      <c r="M34" s="689" t="e">
        <f>CONCATENATE(#REF!, " + ",#REF!)</f>
        <v>#REF!</v>
      </c>
    </row>
    <row r="35" spans="1:13" ht="30.75" x14ac:dyDescent="0.2">
      <c r="A35" s="343" t="e">
        <f>#REF!</f>
        <v>#REF!</v>
      </c>
      <c r="B35" s="342" t="e">
        <f>#REF!</f>
        <v>#REF!</v>
      </c>
      <c r="C35" s="400" t="e">
        <f>#REF!</f>
        <v>#REF!</v>
      </c>
      <c r="D35" s="400" t="e">
        <f>#REF!</f>
        <v>#REF!</v>
      </c>
      <c r="E35" s="477" t="e">
        <f>#REF!</f>
        <v>#REF!</v>
      </c>
      <c r="F35" s="477" t="e">
        <f>#REF!</f>
        <v>#REF!</v>
      </c>
      <c r="G35" s="401" t="e">
        <f>#REF!*$B$86*$B$87</f>
        <v>#REF!</v>
      </c>
      <c r="H35" s="401" t="e">
        <f>#REF!</f>
        <v>#REF!</v>
      </c>
      <c r="I35" s="402" t="e">
        <f t="shared" ref="I35:I38" si="12">D35-C35</f>
        <v>#REF!</v>
      </c>
      <c r="J35" s="403" t="e">
        <f t="shared" ref="J35:J38" si="13">H35-G35</f>
        <v>#REF!</v>
      </c>
      <c r="K35" s="371"/>
      <c r="L35" s="372"/>
      <c r="M35" s="689" t="e">
        <f>CONCATENATE(#REF!, " + ",#REF!)</f>
        <v>#REF!</v>
      </c>
    </row>
    <row r="36" spans="1:13" ht="30.75" x14ac:dyDescent="0.2">
      <c r="A36" s="341" t="e">
        <f>#REF!</f>
        <v>#REF!</v>
      </c>
      <c r="B36" s="342" t="e">
        <f>#REF!</f>
        <v>#REF!</v>
      </c>
      <c r="C36" s="400" t="e">
        <f>#REF!</f>
        <v>#REF!</v>
      </c>
      <c r="D36" s="400" t="e">
        <f>#REF!</f>
        <v>#REF!</v>
      </c>
      <c r="E36" s="477" t="e">
        <f>#REF!</f>
        <v>#REF!</v>
      </c>
      <c r="F36" s="477" t="e">
        <f>#REF!</f>
        <v>#REF!</v>
      </c>
      <c r="G36" s="401" t="e">
        <f>#REF!*$B$86*$B$87</f>
        <v>#REF!</v>
      </c>
      <c r="H36" s="401" t="e">
        <f>#REF!</f>
        <v>#REF!</v>
      </c>
      <c r="I36" s="402" t="e">
        <f t="shared" si="12"/>
        <v>#REF!</v>
      </c>
      <c r="J36" s="403" t="e">
        <f t="shared" si="13"/>
        <v>#REF!</v>
      </c>
      <c r="K36" s="371"/>
      <c r="L36" s="372"/>
      <c r="M36" s="689" t="e">
        <f>CONCATENATE(#REF!, " + ",#REF!)</f>
        <v>#REF!</v>
      </c>
    </row>
    <row r="37" spans="1:13" ht="30.75" x14ac:dyDescent="0.2">
      <c r="A37" s="341" t="e">
        <f>#REF!</f>
        <v>#REF!</v>
      </c>
      <c r="B37" s="342" t="e">
        <f>#REF!</f>
        <v>#REF!</v>
      </c>
      <c r="C37" s="400" t="e">
        <f>#REF!</f>
        <v>#REF!</v>
      </c>
      <c r="D37" s="400" t="e">
        <f>#REF!</f>
        <v>#REF!</v>
      </c>
      <c r="E37" s="477" t="e">
        <f>#REF!</f>
        <v>#REF!</v>
      </c>
      <c r="F37" s="477" t="e">
        <f>#REF!</f>
        <v>#REF!</v>
      </c>
      <c r="G37" s="401" t="e">
        <f>#REF!*$B$86*$B$87</f>
        <v>#REF!</v>
      </c>
      <c r="H37" s="401" t="e">
        <f>#REF!</f>
        <v>#REF!</v>
      </c>
      <c r="I37" s="402" t="e">
        <f t="shared" si="12"/>
        <v>#REF!</v>
      </c>
      <c r="J37" s="403" t="e">
        <f t="shared" si="13"/>
        <v>#REF!</v>
      </c>
      <c r="K37" s="371" t="e">
        <f t="shared" ref="K37:K38" si="14">D37/C37</f>
        <v>#REF!</v>
      </c>
      <c r="L37" s="372" t="e">
        <f t="shared" ref="L37:L38" si="15">H37/G37</f>
        <v>#REF!</v>
      </c>
      <c r="M37" s="689" t="e">
        <f>CONCATENATE(#REF!, " + ",#REF!)</f>
        <v>#REF!</v>
      </c>
    </row>
    <row r="38" spans="1:13" ht="58.5" customHeight="1" x14ac:dyDescent="0.2">
      <c r="A38" s="341" t="e">
        <f>#REF!</f>
        <v>#REF!</v>
      </c>
      <c r="B38" s="342" t="e">
        <f>#REF!</f>
        <v>#REF!</v>
      </c>
      <c r="C38" s="400" t="e">
        <f>#REF!</f>
        <v>#REF!</v>
      </c>
      <c r="D38" s="400" t="e">
        <f>#REF!</f>
        <v>#REF!</v>
      </c>
      <c r="E38" s="477" t="e">
        <f>#REF!</f>
        <v>#REF!</v>
      </c>
      <c r="F38" s="477" t="e">
        <f>#REF!</f>
        <v>#REF!</v>
      </c>
      <c r="G38" s="401" t="e">
        <f>#REF!*$B$86*$B$87</f>
        <v>#REF!</v>
      </c>
      <c r="H38" s="401" t="e">
        <f>#REF!</f>
        <v>#REF!</v>
      </c>
      <c r="I38" s="402" t="e">
        <f t="shared" si="12"/>
        <v>#REF!</v>
      </c>
      <c r="J38" s="403" t="e">
        <f t="shared" si="13"/>
        <v>#REF!</v>
      </c>
      <c r="K38" s="371" t="e">
        <f t="shared" si="14"/>
        <v>#REF!</v>
      </c>
      <c r="L38" s="372" t="e">
        <f t="shared" si="15"/>
        <v>#REF!</v>
      </c>
      <c r="M38" s="689" t="e">
        <f>CONCATENATE(#REF!, " + ",#REF!)</f>
        <v>#REF!</v>
      </c>
    </row>
    <row r="39" spans="1:13" ht="147.75" customHeight="1" x14ac:dyDescent="0.2">
      <c r="A39" s="344" t="e">
        <f>#REF!</f>
        <v>#REF!</v>
      </c>
      <c r="B39" s="345" t="e">
        <f>#REF!</f>
        <v>#REF!</v>
      </c>
      <c r="C39" s="373" t="e">
        <f>#REF!</f>
        <v>#REF!</v>
      </c>
      <c r="D39" s="373" t="e">
        <f>#REF!</f>
        <v>#REF!</v>
      </c>
      <c r="E39" s="474" t="e">
        <f>#REF!</f>
        <v>#REF!</v>
      </c>
      <c r="F39" s="474" t="e">
        <f>#REF!</f>
        <v>#REF!</v>
      </c>
      <c r="G39" s="374" t="e">
        <f>#REF!*$B$86*$B$87</f>
        <v>#REF!</v>
      </c>
      <c r="H39" s="374" t="e">
        <f>#REF!</f>
        <v>#REF!</v>
      </c>
      <c r="I39" s="373" t="e">
        <f t="shared" si="0"/>
        <v>#REF!</v>
      </c>
      <c r="J39" s="374" t="e">
        <f t="shared" si="1"/>
        <v>#REF!</v>
      </c>
      <c r="K39" s="375" t="e">
        <f t="shared" si="2"/>
        <v>#REF!</v>
      </c>
      <c r="L39" s="375" t="e">
        <f t="shared" si="3"/>
        <v>#REF!</v>
      </c>
      <c r="M39" s="689" t="e">
        <f>CONCATENATE(#REF!, " + ",#REF!)</f>
        <v>#REF!</v>
      </c>
    </row>
    <row r="40" spans="1:13" ht="76.5" x14ac:dyDescent="0.2">
      <c r="A40" s="346" t="e">
        <f>#REF!</f>
        <v>#REF!</v>
      </c>
      <c r="B40" s="347" t="e">
        <f>#REF!</f>
        <v>#REF!</v>
      </c>
      <c r="C40" s="406" t="e">
        <f>#REF!</f>
        <v>#REF!</v>
      </c>
      <c r="D40" s="406" t="e">
        <f>#REF!</f>
        <v>#REF!</v>
      </c>
      <c r="E40" s="477" t="e">
        <f>#REF!</f>
        <v>#REF!</v>
      </c>
      <c r="F40" s="477" t="e">
        <f>#REF!</f>
        <v>#REF!</v>
      </c>
      <c r="G40" s="407" t="e">
        <f>#REF!*$B$86</f>
        <v>#REF!</v>
      </c>
      <c r="H40" s="407" t="e">
        <f>#REF!</f>
        <v>#REF!</v>
      </c>
      <c r="I40" s="408" t="e">
        <f t="shared" si="0"/>
        <v>#REF!</v>
      </c>
      <c r="J40" s="380" t="e">
        <f t="shared" si="1"/>
        <v>#REF!</v>
      </c>
      <c r="K40" s="409" t="e">
        <f t="shared" si="2"/>
        <v>#REF!</v>
      </c>
      <c r="L40" s="381" t="e">
        <f t="shared" si="3"/>
        <v>#REF!</v>
      </c>
      <c r="M40" s="689" t="e">
        <f>CONCATENATE(#REF!, " + ",#REF!)</f>
        <v>#REF!</v>
      </c>
    </row>
    <row r="41" spans="1:13" ht="102" x14ac:dyDescent="0.2">
      <c r="A41" s="346" t="e">
        <f>#REF!</f>
        <v>#REF!</v>
      </c>
      <c r="B41" s="347" t="e">
        <f>#REF!</f>
        <v>#REF!</v>
      </c>
      <c r="C41" s="406" t="e">
        <f>#REF!</f>
        <v>#REF!</v>
      </c>
      <c r="D41" s="406" t="e">
        <f>#REF!</f>
        <v>#REF!</v>
      </c>
      <c r="E41" s="477" t="e">
        <f>#REF!</f>
        <v>#REF!</v>
      </c>
      <c r="F41" s="477" t="e">
        <f>#REF!</f>
        <v>#REF!</v>
      </c>
      <c r="G41" s="407" t="e">
        <f>#REF!*$B$86*$B$87</f>
        <v>#REF!</v>
      </c>
      <c r="H41" s="407" t="e">
        <f>#REF!</f>
        <v>#REF!</v>
      </c>
      <c r="I41" s="408" t="e">
        <f t="shared" si="0"/>
        <v>#REF!</v>
      </c>
      <c r="J41" s="380" t="e">
        <f t="shared" si="1"/>
        <v>#REF!</v>
      </c>
      <c r="K41" s="409" t="e">
        <f t="shared" si="2"/>
        <v>#REF!</v>
      </c>
      <c r="L41" s="381" t="e">
        <f t="shared" si="3"/>
        <v>#REF!</v>
      </c>
      <c r="M41" s="689" t="e">
        <f>CONCATENATE(#REF!, " + ",#REF!)</f>
        <v>#REF!</v>
      </c>
    </row>
    <row r="42" spans="1:13" ht="76.5" x14ac:dyDescent="0.2">
      <c r="A42" s="343" t="e">
        <f>#REF!</f>
        <v>#REF!</v>
      </c>
      <c r="B42" s="340" t="e">
        <f>#REF!</f>
        <v>#REF!</v>
      </c>
      <c r="C42" s="389" t="e">
        <f>#REF!</f>
        <v>#REF!</v>
      </c>
      <c r="D42" s="389" t="e">
        <f>#REF!</f>
        <v>#REF!</v>
      </c>
      <c r="E42" s="477" t="e">
        <f>#REF!</f>
        <v>#REF!</v>
      </c>
      <c r="F42" s="477" t="e">
        <f>#REF!</f>
        <v>#REF!</v>
      </c>
      <c r="G42" s="390" t="e">
        <f>#REF!*$B$86*$B$87</f>
        <v>#REF!</v>
      </c>
      <c r="H42" s="390" t="e">
        <f>#REF!</f>
        <v>#REF!</v>
      </c>
      <c r="I42" s="369" t="e">
        <f t="shared" si="0"/>
        <v>#REF!</v>
      </c>
      <c r="J42" s="370" t="e">
        <f t="shared" si="1"/>
        <v>#REF!</v>
      </c>
      <c r="K42" s="371" t="e">
        <f t="shared" si="2"/>
        <v>#REF!</v>
      </c>
      <c r="L42" s="372" t="e">
        <f t="shared" si="3"/>
        <v>#REF!</v>
      </c>
      <c r="M42" s="689" t="e">
        <f>CONCATENATE(#REF!, " + ",#REF!)</f>
        <v>#REF!</v>
      </c>
    </row>
    <row r="43" spans="1:13" ht="102" customHeight="1" x14ac:dyDescent="0.2">
      <c r="A43" s="341" t="e">
        <f>#REF!</f>
        <v>#REF!</v>
      </c>
      <c r="B43" s="342" t="e">
        <f>#REF!</f>
        <v>#REF!</v>
      </c>
      <c r="C43" s="400" t="e">
        <f>#REF!</f>
        <v>#REF!</v>
      </c>
      <c r="D43" s="400" t="e">
        <f>#REF!</f>
        <v>#REF!</v>
      </c>
      <c r="E43" s="477" t="e">
        <f>#REF!</f>
        <v>#REF!</v>
      </c>
      <c r="F43" s="477" t="e">
        <f>#REF!</f>
        <v>#REF!</v>
      </c>
      <c r="G43" s="401" t="e">
        <f>#REF!*$B$86</f>
        <v>#REF!</v>
      </c>
      <c r="H43" s="401" t="e">
        <f>#REF!</f>
        <v>#REF!</v>
      </c>
      <c r="I43" s="402" t="e">
        <f t="shared" si="0"/>
        <v>#REF!</v>
      </c>
      <c r="J43" s="403" t="e">
        <f t="shared" si="1"/>
        <v>#REF!</v>
      </c>
      <c r="K43" s="404" t="e">
        <f t="shared" si="2"/>
        <v>#REF!</v>
      </c>
      <c r="L43" s="405" t="e">
        <f t="shared" si="3"/>
        <v>#REF!</v>
      </c>
      <c r="M43" s="689" t="e">
        <f>CONCATENATE(#REF!, " + ",#REF!)</f>
        <v>#REF!</v>
      </c>
    </row>
    <row r="44" spans="1:13" ht="78.75" x14ac:dyDescent="0.2">
      <c r="A44" s="341" t="e">
        <f>#REF!</f>
        <v>#REF!</v>
      </c>
      <c r="B44" s="342" t="e">
        <f>#REF!</f>
        <v>#REF!</v>
      </c>
      <c r="C44" s="400" t="e">
        <f>#REF!</f>
        <v>#REF!</v>
      </c>
      <c r="D44" s="400" t="e">
        <f>#REF!</f>
        <v>#REF!</v>
      </c>
      <c r="E44" s="476" t="e">
        <f>#REF!</f>
        <v>#REF!</v>
      </c>
      <c r="F44" s="476" t="e">
        <f>#REF!</f>
        <v>#REF!</v>
      </c>
      <c r="G44" s="401" t="e">
        <f>#REF!*$B$86*$B$87</f>
        <v>#REF!</v>
      </c>
      <c r="H44" s="401" t="e">
        <f>#REF!</f>
        <v>#REF!</v>
      </c>
      <c r="I44" s="402" t="e">
        <f t="shared" si="0"/>
        <v>#REF!</v>
      </c>
      <c r="J44" s="403" t="e">
        <f t="shared" si="1"/>
        <v>#REF!</v>
      </c>
      <c r="K44" s="404" t="e">
        <f t="shared" si="2"/>
        <v>#REF!</v>
      </c>
      <c r="L44" s="405" t="e">
        <f t="shared" si="3"/>
        <v>#REF!</v>
      </c>
      <c r="M44" s="689" t="e">
        <f>CONCATENATE(#REF!, " + ",#REF!)</f>
        <v>#REF!</v>
      </c>
    </row>
    <row r="45" spans="1:13" ht="76.5" x14ac:dyDescent="0.2">
      <c r="A45" s="343" t="e">
        <f>#REF!</f>
        <v>#REF!</v>
      </c>
      <c r="B45" s="349" t="e">
        <f>#REF!</f>
        <v>#REF!</v>
      </c>
      <c r="C45" s="389" t="e">
        <f>#REF!</f>
        <v>#REF!</v>
      </c>
      <c r="D45" s="389" t="e">
        <f>#REF!</f>
        <v>#REF!</v>
      </c>
      <c r="E45" s="477" t="e">
        <f>#REF!</f>
        <v>#REF!</v>
      </c>
      <c r="F45" s="477" t="e">
        <f>#REF!</f>
        <v>#REF!</v>
      </c>
      <c r="G45" s="390" t="e">
        <f>#REF!*$B$86*$B$87</f>
        <v>#REF!</v>
      </c>
      <c r="H45" s="390" t="e">
        <f>#REF!</f>
        <v>#REF!</v>
      </c>
      <c r="I45" s="369" t="e">
        <f t="shared" si="0"/>
        <v>#REF!</v>
      </c>
      <c r="J45" s="370" t="e">
        <f t="shared" si="1"/>
        <v>#REF!</v>
      </c>
      <c r="K45" s="371" t="e">
        <f t="shared" si="2"/>
        <v>#REF!</v>
      </c>
      <c r="L45" s="372" t="e">
        <f t="shared" si="3"/>
        <v>#REF!</v>
      </c>
      <c r="M45" s="689" t="e">
        <f>CONCATENATE(#REF!, " + ",#REF!)</f>
        <v>#REF!</v>
      </c>
    </row>
    <row r="46" spans="1:13" ht="30.75" x14ac:dyDescent="0.2">
      <c r="A46" s="341" t="e">
        <f>#REF!</f>
        <v>#REF!</v>
      </c>
      <c r="B46" s="342" t="e">
        <f>#REF!</f>
        <v>#REF!</v>
      </c>
      <c r="C46" s="400" t="e">
        <f>#REF!</f>
        <v>#REF!</v>
      </c>
      <c r="D46" s="400" t="e">
        <f>#REF!</f>
        <v>#REF!</v>
      </c>
      <c r="E46" s="476" t="e">
        <f>#REF!</f>
        <v>#REF!</v>
      </c>
      <c r="F46" s="476" t="e">
        <f>#REF!</f>
        <v>#REF!</v>
      </c>
      <c r="G46" s="401" t="e">
        <f>#REF!*$B$86</f>
        <v>#REF!</v>
      </c>
      <c r="H46" s="401" t="e">
        <f>#REF!</f>
        <v>#REF!</v>
      </c>
      <c r="I46" s="402" t="e">
        <f t="shared" si="0"/>
        <v>#REF!</v>
      </c>
      <c r="J46" s="403" t="e">
        <f t="shared" si="1"/>
        <v>#REF!</v>
      </c>
      <c r="K46" s="404" t="e">
        <f t="shared" si="2"/>
        <v>#REF!</v>
      </c>
      <c r="L46" s="405" t="e">
        <f t="shared" si="3"/>
        <v>#REF!</v>
      </c>
      <c r="M46" s="689" t="e">
        <f>CONCATENATE(#REF!, " + ",#REF!)</f>
        <v>#REF!</v>
      </c>
    </row>
    <row r="47" spans="1:13" ht="78.75" x14ac:dyDescent="0.2">
      <c r="A47" s="341" t="e">
        <f>#REF!</f>
        <v>#REF!</v>
      </c>
      <c r="B47" s="342" t="e">
        <f>#REF!</f>
        <v>#REF!</v>
      </c>
      <c r="C47" s="400" t="e">
        <f>#REF!</f>
        <v>#REF!</v>
      </c>
      <c r="D47" s="400" t="e">
        <f>#REF!</f>
        <v>#REF!</v>
      </c>
      <c r="E47" s="476" t="e">
        <f>#REF!</f>
        <v>#REF!</v>
      </c>
      <c r="F47" s="476" t="e">
        <f>#REF!</f>
        <v>#REF!</v>
      </c>
      <c r="G47" s="401" t="e">
        <f>#REF!*$B$86*$B$87</f>
        <v>#REF!</v>
      </c>
      <c r="H47" s="401" t="e">
        <f>#REF!</f>
        <v>#REF!</v>
      </c>
      <c r="I47" s="402" t="e">
        <f t="shared" si="0"/>
        <v>#REF!</v>
      </c>
      <c r="J47" s="403" t="e">
        <f t="shared" si="1"/>
        <v>#REF!</v>
      </c>
      <c r="K47" s="404" t="e">
        <f t="shared" si="2"/>
        <v>#REF!</v>
      </c>
      <c r="L47" s="405" t="e">
        <f t="shared" si="3"/>
        <v>#REF!</v>
      </c>
      <c r="M47" s="689" t="e">
        <f>CONCATENATE(#REF!, " + ",#REF!)</f>
        <v>#REF!</v>
      </c>
    </row>
    <row r="48" spans="1:13" ht="76.5" x14ac:dyDescent="0.2">
      <c r="A48" s="343" t="e">
        <f>#REF!</f>
        <v>#REF!</v>
      </c>
      <c r="B48" s="340" t="e">
        <f>#REF!</f>
        <v>#REF!</v>
      </c>
      <c r="C48" s="389" t="e">
        <f>#REF!</f>
        <v>#REF!</v>
      </c>
      <c r="D48" s="389" t="e">
        <f>#REF!</f>
        <v>#REF!</v>
      </c>
      <c r="E48" s="477" t="e">
        <f>#REF!</f>
        <v>#REF!</v>
      </c>
      <c r="F48" s="477" t="e">
        <f>#REF!</f>
        <v>#REF!</v>
      </c>
      <c r="G48" s="390" t="e">
        <f>#REF!*$B$86*$B$87</f>
        <v>#REF!</v>
      </c>
      <c r="H48" s="390" t="e">
        <f>#REF!</f>
        <v>#REF!</v>
      </c>
      <c r="I48" s="369" t="e">
        <f t="shared" si="0"/>
        <v>#REF!</v>
      </c>
      <c r="J48" s="370" t="e">
        <f t="shared" si="1"/>
        <v>#REF!</v>
      </c>
      <c r="K48" s="371" t="e">
        <f t="shared" si="2"/>
        <v>#REF!</v>
      </c>
      <c r="L48" s="372" t="e">
        <f t="shared" si="3"/>
        <v>#REF!</v>
      </c>
      <c r="M48" s="689" t="e">
        <f>CONCATENATE(#REF!, " + ",#REF!)</f>
        <v>#REF!</v>
      </c>
    </row>
    <row r="49" spans="1:13" ht="78.75" hidden="1" x14ac:dyDescent="0.2">
      <c r="A49" s="350" t="e">
        <f>#REF!</f>
        <v>#REF!</v>
      </c>
      <c r="B49" s="351" t="e">
        <f>#REF!</f>
        <v>#REF!</v>
      </c>
      <c r="C49" s="400" t="e">
        <f>#REF!</f>
        <v>#REF!</v>
      </c>
      <c r="D49" s="400" t="e">
        <f>#REF!</f>
        <v>#REF!</v>
      </c>
      <c r="E49" s="476" t="e">
        <f>#REF!</f>
        <v>#REF!</v>
      </c>
      <c r="F49" s="476" t="e">
        <f>#REF!</f>
        <v>#REF!</v>
      </c>
      <c r="G49" s="401" t="e">
        <f>#REF!*$B$86*$B$87</f>
        <v>#REF!</v>
      </c>
      <c r="H49" s="401" t="e">
        <f>#REF!</f>
        <v>#REF!</v>
      </c>
      <c r="I49" s="402" t="e">
        <f t="shared" si="0"/>
        <v>#REF!</v>
      </c>
      <c r="J49" s="403" t="e">
        <f t="shared" si="1"/>
        <v>#REF!</v>
      </c>
      <c r="K49" s="404" t="e">
        <f t="shared" si="2"/>
        <v>#REF!</v>
      </c>
      <c r="L49" s="372" t="e">
        <f t="shared" si="3"/>
        <v>#REF!</v>
      </c>
      <c r="M49" s="689" t="e">
        <f>CONCATENATE(#REF!, " + ",#REF!)</f>
        <v>#REF!</v>
      </c>
    </row>
    <row r="50" spans="1:13" ht="52.5" hidden="1" customHeight="1" x14ac:dyDescent="0.2">
      <c r="A50" s="398" t="e">
        <f>#REF!</f>
        <v>#REF!</v>
      </c>
      <c r="B50" s="410" t="e">
        <f>#REF!</f>
        <v>#REF!</v>
      </c>
      <c r="C50" s="389" t="e">
        <f>#REF!</f>
        <v>#REF!</v>
      </c>
      <c r="D50" s="389" t="e">
        <f>#REF!</f>
        <v>#REF!</v>
      </c>
      <c r="E50" s="477" t="e">
        <f>#REF!</f>
        <v>#REF!</v>
      </c>
      <c r="F50" s="477" t="e">
        <f>#REF!</f>
        <v>#REF!</v>
      </c>
      <c r="G50" s="390" t="e">
        <f>#REF!*$B$86*$B$87</f>
        <v>#REF!</v>
      </c>
      <c r="H50" s="390" t="e">
        <f>#REF!</f>
        <v>#REF!</v>
      </c>
      <c r="I50" s="369" t="e">
        <f t="shared" si="0"/>
        <v>#REF!</v>
      </c>
      <c r="J50" s="370" t="e">
        <f t="shared" si="1"/>
        <v>#REF!</v>
      </c>
      <c r="K50" s="371" t="e">
        <f t="shared" si="2"/>
        <v>#REF!</v>
      </c>
      <c r="L50" s="372" t="e">
        <f t="shared" si="3"/>
        <v>#REF!</v>
      </c>
      <c r="M50" s="689" t="e">
        <f>CONCATENATE(#REF!, " + ",#REF!)</f>
        <v>#REF!</v>
      </c>
    </row>
    <row r="51" spans="1:13" ht="30.75" hidden="1" x14ac:dyDescent="0.2">
      <c r="A51" s="341" t="e">
        <f>#REF!</f>
        <v>#REF!</v>
      </c>
      <c r="B51" s="342" t="e">
        <f>#REF!</f>
        <v>#REF!</v>
      </c>
      <c r="C51" s="400" t="e">
        <f>#REF!</f>
        <v>#REF!</v>
      </c>
      <c r="D51" s="400" t="e">
        <f>#REF!</f>
        <v>#REF!</v>
      </c>
      <c r="E51" s="476" t="e">
        <f>#REF!</f>
        <v>#REF!</v>
      </c>
      <c r="F51" s="476" t="e">
        <f>#REF!</f>
        <v>#REF!</v>
      </c>
      <c r="G51" s="401" t="e">
        <f>#REF!*$B$86</f>
        <v>#REF!</v>
      </c>
      <c r="H51" s="401" t="e">
        <f>#REF!</f>
        <v>#REF!</v>
      </c>
      <c r="I51" s="402" t="e">
        <f t="shared" si="0"/>
        <v>#REF!</v>
      </c>
      <c r="J51" s="403" t="e">
        <f t="shared" si="1"/>
        <v>#REF!</v>
      </c>
      <c r="K51" s="404" t="e">
        <f t="shared" si="2"/>
        <v>#REF!</v>
      </c>
      <c r="L51" s="405" t="e">
        <f t="shared" si="3"/>
        <v>#REF!</v>
      </c>
      <c r="M51" s="689" t="e">
        <f>CONCATENATE(#REF!, " + ",#REF!)</f>
        <v>#REF!</v>
      </c>
    </row>
    <row r="52" spans="1:13" ht="78.75" hidden="1" x14ac:dyDescent="0.2">
      <c r="A52" s="341" t="e">
        <f>#REF!</f>
        <v>#REF!</v>
      </c>
      <c r="B52" s="342" t="e">
        <f>#REF!</f>
        <v>#REF!</v>
      </c>
      <c r="C52" s="400" t="e">
        <f>#REF!</f>
        <v>#REF!</v>
      </c>
      <c r="D52" s="400" t="e">
        <f>#REF!</f>
        <v>#REF!</v>
      </c>
      <c r="E52" s="476" t="e">
        <f>#REF!</f>
        <v>#REF!</v>
      </c>
      <c r="F52" s="476" t="e">
        <f>#REF!</f>
        <v>#REF!</v>
      </c>
      <c r="G52" s="401" t="e">
        <f>#REF!*$B$86*$B$87</f>
        <v>#REF!</v>
      </c>
      <c r="H52" s="401" t="e">
        <f>#REF!</f>
        <v>#REF!</v>
      </c>
      <c r="I52" s="402" t="e">
        <f t="shared" si="0"/>
        <v>#REF!</v>
      </c>
      <c r="J52" s="403" t="e">
        <f t="shared" si="1"/>
        <v>#REF!</v>
      </c>
      <c r="K52" s="404" t="e">
        <f t="shared" si="2"/>
        <v>#REF!</v>
      </c>
      <c r="L52" s="405" t="e">
        <f t="shared" si="3"/>
        <v>#REF!</v>
      </c>
      <c r="M52" s="689" t="e">
        <f>CONCATENATE(#REF!, " + ",#REF!)</f>
        <v>#REF!</v>
      </c>
    </row>
    <row r="53" spans="1:13" ht="153" x14ac:dyDescent="0.2">
      <c r="A53" s="352" t="e">
        <f>#REF!</f>
        <v>#REF!</v>
      </c>
      <c r="B53" s="391" t="e">
        <f>#REF!</f>
        <v>#REF!</v>
      </c>
      <c r="C53" s="376" t="e">
        <f>#REF!</f>
        <v>#REF!</v>
      </c>
      <c r="D53" s="376" t="e">
        <f>#REF!</f>
        <v>#REF!</v>
      </c>
      <c r="E53" s="478" t="e">
        <f>#REF!</f>
        <v>#REF!</v>
      </c>
      <c r="F53" s="478" t="e">
        <f>#REF!</f>
        <v>#REF!</v>
      </c>
      <c r="G53" s="377" t="e">
        <f>#REF!*$B$86*$B$87</f>
        <v>#REF!</v>
      </c>
      <c r="H53" s="377" t="e">
        <f>#REF!</f>
        <v>#REF!</v>
      </c>
      <c r="I53" s="376" t="e">
        <f t="shared" si="0"/>
        <v>#REF!</v>
      </c>
      <c r="J53" s="377" t="e">
        <f t="shared" si="1"/>
        <v>#REF!</v>
      </c>
      <c r="K53" s="378" t="e">
        <f t="shared" si="2"/>
        <v>#REF!</v>
      </c>
      <c r="L53" s="378" t="e">
        <f t="shared" si="3"/>
        <v>#REF!</v>
      </c>
      <c r="M53" s="689" t="e">
        <f>CONCATENATE(#REF!, " + ",#REF!)</f>
        <v>#REF!</v>
      </c>
    </row>
    <row r="54" spans="1:13" ht="52.5" x14ac:dyDescent="0.2">
      <c r="A54" s="341" t="e">
        <f>#REF!</f>
        <v>#REF!</v>
      </c>
      <c r="B54" s="342" t="e">
        <f>#REF!</f>
        <v>#REF!</v>
      </c>
      <c r="C54" s="400" t="e">
        <f>#REF!</f>
        <v>#REF!</v>
      </c>
      <c r="D54" s="400" t="e">
        <f>#REF!</f>
        <v>#REF!</v>
      </c>
      <c r="E54" s="476" t="e">
        <f>#REF!</f>
        <v>#REF!</v>
      </c>
      <c r="F54" s="476" t="e">
        <f>#REF!</f>
        <v>#REF!</v>
      </c>
      <c r="G54" s="401" t="e">
        <f>#REF!*$B$86</f>
        <v>#REF!</v>
      </c>
      <c r="H54" s="401" t="e">
        <f>#REF!</f>
        <v>#REF!</v>
      </c>
      <c r="I54" s="402" t="e">
        <f t="shared" si="0"/>
        <v>#REF!</v>
      </c>
      <c r="J54" s="403" t="e">
        <f t="shared" si="1"/>
        <v>#REF!</v>
      </c>
      <c r="K54" s="404" t="e">
        <f t="shared" si="2"/>
        <v>#REF!</v>
      </c>
      <c r="L54" s="405" t="e">
        <f t="shared" si="3"/>
        <v>#REF!</v>
      </c>
      <c r="M54" s="689" t="e">
        <f>CONCATENATE(#REF!, " + ",#REF!)</f>
        <v>#REF!</v>
      </c>
    </row>
    <row r="55" spans="1:13" ht="105" x14ac:dyDescent="0.2">
      <c r="A55" s="341" t="e">
        <f>#REF!</f>
        <v>#REF!</v>
      </c>
      <c r="B55" s="342" t="e">
        <f>#REF!</f>
        <v>#REF!</v>
      </c>
      <c r="C55" s="400" t="e">
        <f>#REF!</f>
        <v>#REF!</v>
      </c>
      <c r="D55" s="400" t="e">
        <f>#REF!</f>
        <v>#REF!</v>
      </c>
      <c r="E55" s="476" t="e">
        <f>#REF!</f>
        <v>#REF!</v>
      </c>
      <c r="F55" s="476" t="e">
        <f>#REF!</f>
        <v>#REF!</v>
      </c>
      <c r="G55" s="401" t="e">
        <f>#REF!*$B$86*$B$87</f>
        <v>#REF!</v>
      </c>
      <c r="H55" s="401" t="e">
        <f>#REF!</f>
        <v>#REF!</v>
      </c>
      <c r="I55" s="402" t="e">
        <f t="shared" si="0"/>
        <v>#REF!</v>
      </c>
      <c r="J55" s="403" t="e">
        <f t="shared" si="1"/>
        <v>#REF!</v>
      </c>
      <c r="K55" s="404" t="e">
        <f t="shared" si="2"/>
        <v>#REF!</v>
      </c>
      <c r="L55" s="405" t="e">
        <f t="shared" si="3"/>
        <v>#REF!</v>
      </c>
      <c r="M55" s="689" t="e">
        <f>CONCATENATE(#REF!, " + ",#REF!)</f>
        <v>#REF!</v>
      </c>
    </row>
    <row r="56" spans="1:13" ht="76.5" x14ac:dyDescent="0.2">
      <c r="A56" s="343" t="e">
        <f>#REF!</f>
        <v>#REF!</v>
      </c>
      <c r="B56" s="347" t="e">
        <f>#REF!</f>
        <v>#REF!</v>
      </c>
      <c r="C56" s="389" t="e">
        <f>#REF!</f>
        <v>#REF!</v>
      </c>
      <c r="D56" s="389" t="e">
        <f>#REF!</f>
        <v>#REF!</v>
      </c>
      <c r="E56" s="477" t="e">
        <f>#REF!</f>
        <v>#REF!</v>
      </c>
      <c r="F56" s="477" t="e">
        <f>#REF!</f>
        <v>#REF!</v>
      </c>
      <c r="G56" s="390" t="e">
        <f>#REF!*$B$86*$B$87</f>
        <v>#REF!</v>
      </c>
      <c r="H56" s="390" t="e">
        <f>#REF!</f>
        <v>#REF!</v>
      </c>
      <c r="I56" s="369" t="e">
        <f t="shared" si="0"/>
        <v>#REF!</v>
      </c>
      <c r="J56" s="370" t="e">
        <f t="shared" si="1"/>
        <v>#REF!</v>
      </c>
      <c r="K56" s="371" t="e">
        <f t="shared" si="2"/>
        <v>#REF!</v>
      </c>
      <c r="L56" s="372" t="e">
        <f t="shared" si="3"/>
        <v>#REF!</v>
      </c>
      <c r="M56" s="689" t="e">
        <f>CONCATENATE(#REF!, " + ",#REF!)</f>
        <v>#REF!</v>
      </c>
    </row>
    <row r="57" spans="1:13" ht="52.5" x14ac:dyDescent="0.2">
      <c r="A57" s="341" t="e">
        <f>#REF!</f>
        <v>#REF!</v>
      </c>
      <c r="B57" s="342" t="e">
        <f>#REF!</f>
        <v>#REF!</v>
      </c>
      <c r="C57" s="400" t="e">
        <f>#REF!</f>
        <v>#REF!</v>
      </c>
      <c r="D57" s="400" t="e">
        <f>#REF!</f>
        <v>#REF!</v>
      </c>
      <c r="E57" s="476" t="e">
        <f>#REF!</f>
        <v>#REF!</v>
      </c>
      <c r="F57" s="476" t="e">
        <f>#REF!</f>
        <v>#REF!</v>
      </c>
      <c r="G57" s="401" t="e">
        <f>#REF!*$B$86</f>
        <v>#REF!</v>
      </c>
      <c r="H57" s="401" t="e">
        <f>#REF!</f>
        <v>#REF!</v>
      </c>
      <c r="I57" s="402" t="e">
        <f t="shared" si="0"/>
        <v>#REF!</v>
      </c>
      <c r="J57" s="403" t="e">
        <f t="shared" si="1"/>
        <v>#REF!</v>
      </c>
      <c r="K57" s="404" t="e">
        <f t="shared" si="2"/>
        <v>#REF!</v>
      </c>
      <c r="L57" s="405" t="e">
        <f t="shared" si="3"/>
        <v>#REF!</v>
      </c>
      <c r="M57" s="689" t="e">
        <f>CONCATENATE(#REF!, " + ",#REF!)</f>
        <v>#REF!</v>
      </c>
    </row>
    <row r="58" spans="1:13" ht="78.75" x14ac:dyDescent="0.2">
      <c r="A58" s="411" t="e">
        <f>#REF!</f>
        <v>#REF!</v>
      </c>
      <c r="B58" s="417" t="e">
        <f>#REF!</f>
        <v>#REF!</v>
      </c>
      <c r="C58" s="400" t="e">
        <f>#REF!</f>
        <v>#REF!</v>
      </c>
      <c r="D58" s="400" t="e">
        <f>#REF!</f>
        <v>#REF!</v>
      </c>
      <c r="E58" s="476" t="e">
        <f>#REF!</f>
        <v>#REF!</v>
      </c>
      <c r="F58" s="476" t="e">
        <f>#REF!</f>
        <v>#REF!</v>
      </c>
      <c r="G58" s="401" t="e">
        <f>#REF!*$B$86*$B$87</f>
        <v>#REF!</v>
      </c>
      <c r="H58" s="401" t="e">
        <f>#REF!</f>
        <v>#REF!</v>
      </c>
      <c r="I58" s="402" t="e">
        <f t="shared" si="0"/>
        <v>#REF!</v>
      </c>
      <c r="J58" s="403" t="e">
        <f t="shared" si="1"/>
        <v>#REF!</v>
      </c>
      <c r="K58" s="404" t="e">
        <f t="shared" si="2"/>
        <v>#REF!</v>
      </c>
      <c r="L58" s="405" t="e">
        <f t="shared" si="3"/>
        <v>#REF!</v>
      </c>
      <c r="M58" s="689" t="e">
        <f>CONCATENATE(#REF!, " + ",#REF!)</f>
        <v>#REF!</v>
      </c>
    </row>
    <row r="59" spans="1:13" ht="30" hidden="1" x14ac:dyDescent="0.2">
      <c r="A59" s="343" t="e">
        <f>#REF!</f>
        <v>#REF!</v>
      </c>
      <c r="B59" s="506"/>
      <c r="C59" s="389" t="e">
        <f>#REF!</f>
        <v>#REF!</v>
      </c>
      <c r="D59" s="389" t="e">
        <f>#REF!</f>
        <v>#REF!</v>
      </c>
      <c r="E59" s="477" t="e">
        <f>#REF!</f>
        <v>#REF!</v>
      </c>
      <c r="F59" s="477" t="e">
        <f>#REF!</f>
        <v>#REF!</v>
      </c>
      <c r="G59" s="390" t="e">
        <f>#REF!*$B$86*$B$87</f>
        <v>#REF!</v>
      </c>
      <c r="H59" s="390" t="e">
        <f>#REF!</f>
        <v>#REF!</v>
      </c>
      <c r="I59" s="507"/>
      <c r="J59" s="508"/>
      <c r="K59" s="508"/>
      <c r="L59" s="508"/>
      <c r="M59" s="689" t="e">
        <f>CONCATENATE(#REF!, " + ",#REF!)</f>
        <v>#REF!</v>
      </c>
    </row>
    <row r="60" spans="1:13" ht="30" hidden="1" x14ac:dyDescent="0.2">
      <c r="A60" s="343" t="e">
        <f>#REF!</f>
        <v>#REF!</v>
      </c>
      <c r="B60" s="340"/>
      <c r="C60" s="389" t="e">
        <f>#REF!</f>
        <v>#REF!</v>
      </c>
      <c r="D60" s="389" t="e">
        <f>#REF!</f>
        <v>#REF!</v>
      </c>
      <c r="E60" s="477" t="e">
        <f>#REF!</f>
        <v>#REF!</v>
      </c>
      <c r="F60" s="477" t="e">
        <f>#REF!</f>
        <v>#REF!</v>
      </c>
      <c r="G60" s="390" t="e">
        <f>#REF!*$B$86*$B$87</f>
        <v>#REF!</v>
      </c>
      <c r="H60" s="390" t="e">
        <f>#REF!</f>
        <v>#REF!</v>
      </c>
      <c r="I60" s="389"/>
      <c r="J60" s="390"/>
      <c r="K60" s="509"/>
      <c r="L60" s="509"/>
      <c r="M60" s="689" t="e">
        <f>CONCATENATE(#REF!, " + ",#REF!)</f>
        <v>#REF!</v>
      </c>
    </row>
    <row r="61" spans="1:13" ht="30" hidden="1" x14ac:dyDescent="0.2">
      <c r="A61" s="343" t="e">
        <f>#REF!</f>
        <v>#REF!</v>
      </c>
      <c r="B61" s="340"/>
      <c r="C61" s="389" t="e">
        <f>#REF!</f>
        <v>#REF!</v>
      </c>
      <c r="D61" s="389" t="e">
        <f>#REF!</f>
        <v>#REF!</v>
      </c>
      <c r="E61" s="477" t="e">
        <f>#REF!</f>
        <v>#REF!</v>
      </c>
      <c r="F61" s="477" t="e">
        <f>#REF!</f>
        <v>#REF!</v>
      </c>
      <c r="G61" s="390" t="e">
        <f>#REF!*$B$86*$B$87</f>
        <v>#REF!</v>
      </c>
      <c r="H61" s="390" t="e">
        <f>#REF!</f>
        <v>#REF!</v>
      </c>
      <c r="I61" s="389"/>
      <c r="J61" s="390"/>
      <c r="K61" s="509"/>
      <c r="L61" s="509"/>
      <c r="M61" s="689" t="e">
        <f>CONCATENATE(#REF!, " + ",#REF!)</f>
        <v>#REF!</v>
      </c>
    </row>
    <row r="62" spans="1:13" ht="51" x14ac:dyDescent="0.2">
      <c r="A62" s="343" t="e">
        <f>#REF!</f>
        <v>#REF!</v>
      </c>
      <c r="B62" s="340" t="e">
        <f>#REF!</f>
        <v>#REF!</v>
      </c>
      <c r="C62" s="389" t="e">
        <f>#REF!</f>
        <v>#REF!</v>
      </c>
      <c r="D62" s="389" t="e">
        <f>#REF!</f>
        <v>#REF!</v>
      </c>
      <c r="E62" s="477" t="e">
        <f>#REF!</f>
        <v>#REF!</v>
      </c>
      <c r="F62" s="477" t="e">
        <f>#REF!</f>
        <v>#REF!</v>
      </c>
      <c r="G62" s="390" t="e">
        <f>#REF!*$B$86*$B$87</f>
        <v>#REF!</v>
      </c>
      <c r="H62" s="390" t="e">
        <f>#REF!</f>
        <v>#REF!</v>
      </c>
      <c r="I62" s="389" t="e">
        <f t="shared" ref="I62:I63" si="16">D62-C62</f>
        <v>#REF!</v>
      </c>
      <c r="J62" s="390" t="e">
        <f t="shared" ref="J62:J63" si="17">H62-G62</f>
        <v>#REF!</v>
      </c>
      <c r="K62" s="509"/>
      <c r="L62" s="509"/>
      <c r="M62" s="689" t="e">
        <f>CONCATENATE(#REF!, " + ",#REF!)</f>
        <v>#REF!</v>
      </c>
    </row>
    <row r="63" spans="1:13" ht="78.75" x14ac:dyDescent="0.2">
      <c r="A63" s="341" t="e">
        <f>#REF!</f>
        <v>#REF!</v>
      </c>
      <c r="B63" s="340" t="e">
        <f>#REF!</f>
        <v>#REF!</v>
      </c>
      <c r="C63" s="389" t="e">
        <f>#REF!</f>
        <v>#REF!</v>
      </c>
      <c r="D63" s="389" t="e">
        <f>#REF!</f>
        <v>#REF!</v>
      </c>
      <c r="E63" s="477" t="e">
        <f>#REF!</f>
        <v>#REF!</v>
      </c>
      <c r="F63" s="477" t="e">
        <f>#REF!</f>
        <v>#REF!</v>
      </c>
      <c r="G63" s="390" t="e">
        <f>#REF!*$B$86*$B$87</f>
        <v>#REF!</v>
      </c>
      <c r="H63" s="390" t="e">
        <f>#REF!</f>
        <v>#REF!</v>
      </c>
      <c r="I63" s="389" t="e">
        <f t="shared" si="16"/>
        <v>#REF!</v>
      </c>
      <c r="J63" s="390" t="e">
        <f t="shared" si="17"/>
        <v>#REF!</v>
      </c>
      <c r="K63" s="509"/>
      <c r="L63" s="509"/>
      <c r="M63" s="689" t="e">
        <f>CONCATENATE(#REF!, " + ",#REF!)</f>
        <v>#REF!</v>
      </c>
    </row>
    <row r="64" spans="1:13" ht="76.5" x14ac:dyDescent="0.2">
      <c r="A64" s="343" t="e">
        <f>#REF!</f>
        <v>#REF!</v>
      </c>
      <c r="B64" s="340" t="e">
        <f>#REF!</f>
        <v>#REF!</v>
      </c>
      <c r="C64" s="389" t="e">
        <f>#REF!</f>
        <v>#REF!</v>
      </c>
      <c r="D64" s="389" t="e">
        <f>#REF!</f>
        <v>#REF!</v>
      </c>
      <c r="E64" s="477" t="e">
        <f>#REF!</f>
        <v>#REF!</v>
      </c>
      <c r="F64" s="477" t="e">
        <f>#REF!</f>
        <v>#REF!</v>
      </c>
      <c r="G64" s="390" t="e">
        <f>#REF!*$B$86*$B$87</f>
        <v>#REF!</v>
      </c>
      <c r="H64" s="390" t="e">
        <f>#REF!</f>
        <v>#REF!</v>
      </c>
      <c r="I64" s="389" t="e">
        <f t="shared" ref="I64:I66" si="18">D64-C64</f>
        <v>#REF!</v>
      </c>
      <c r="J64" s="390" t="e">
        <f t="shared" ref="J64:J66" si="19">H64-G64</f>
        <v>#REF!</v>
      </c>
      <c r="K64" s="509"/>
      <c r="L64" s="509"/>
      <c r="M64" s="689" t="e">
        <f>CONCATENATE(#REF!, " + ",#REF!)</f>
        <v>#REF!</v>
      </c>
    </row>
    <row r="65" spans="1:13" ht="51" x14ac:dyDescent="0.2">
      <c r="A65" s="341" t="e">
        <f>#REF!</f>
        <v>#REF!</v>
      </c>
      <c r="B65" s="340" t="e">
        <f>#REF!</f>
        <v>#REF!</v>
      </c>
      <c r="C65" s="389" t="e">
        <f>#REF!</f>
        <v>#REF!</v>
      </c>
      <c r="D65" s="389" t="e">
        <f>#REF!</f>
        <v>#REF!</v>
      </c>
      <c r="E65" s="477" t="e">
        <f>#REF!</f>
        <v>#REF!</v>
      </c>
      <c r="F65" s="477" t="e">
        <f>#REF!</f>
        <v>#REF!</v>
      </c>
      <c r="G65" s="390" t="e">
        <f>#REF!*$B$86*$B$87</f>
        <v>#REF!</v>
      </c>
      <c r="H65" s="390" t="e">
        <f>#REF!</f>
        <v>#REF!</v>
      </c>
      <c r="I65" s="389" t="e">
        <f t="shared" si="18"/>
        <v>#REF!</v>
      </c>
      <c r="J65" s="390" t="e">
        <f t="shared" si="19"/>
        <v>#REF!</v>
      </c>
      <c r="K65" s="509"/>
      <c r="L65" s="509"/>
      <c r="M65" s="689" t="e">
        <f>CONCATENATE(#REF!, " + ",#REF!)</f>
        <v>#REF!</v>
      </c>
    </row>
    <row r="66" spans="1:13" ht="78.75" x14ac:dyDescent="0.2">
      <c r="A66" s="341" t="e">
        <f>#REF!</f>
        <v>#REF!</v>
      </c>
      <c r="B66" s="340" t="e">
        <f>#REF!</f>
        <v>#REF!</v>
      </c>
      <c r="C66" s="389" t="e">
        <f>#REF!</f>
        <v>#REF!</v>
      </c>
      <c r="D66" s="389" t="e">
        <f>#REF!</f>
        <v>#REF!</v>
      </c>
      <c r="E66" s="477" t="e">
        <f>#REF!</f>
        <v>#REF!</v>
      </c>
      <c r="F66" s="477" t="e">
        <f>#REF!</f>
        <v>#REF!</v>
      </c>
      <c r="G66" s="390" t="e">
        <f>#REF!*$B$86*$B$87</f>
        <v>#REF!</v>
      </c>
      <c r="H66" s="390" t="e">
        <f>#REF!</f>
        <v>#REF!</v>
      </c>
      <c r="I66" s="389" t="e">
        <f t="shared" si="18"/>
        <v>#REF!</v>
      </c>
      <c r="J66" s="390" t="e">
        <f t="shared" si="19"/>
        <v>#REF!</v>
      </c>
      <c r="K66" s="509"/>
      <c r="L66" s="509"/>
      <c r="M66" s="689" t="e">
        <f>CONCATENATE(#REF!, " + ",#REF!)</f>
        <v>#REF!</v>
      </c>
    </row>
    <row r="67" spans="1:13" ht="30" x14ac:dyDescent="0.2">
      <c r="A67" s="346" t="e">
        <f>#REF!</f>
        <v>#REF!</v>
      </c>
      <c r="B67" s="347"/>
      <c r="C67" s="389" t="e">
        <f>#REF!</f>
        <v>#REF!</v>
      </c>
      <c r="D67" s="389" t="e">
        <f>#REF!</f>
        <v>#REF!</v>
      </c>
      <c r="E67" s="477" t="e">
        <f>#REF!</f>
        <v>#REF!</v>
      </c>
      <c r="F67" s="477" t="e">
        <f>#REF!</f>
        <v>#REF!</v>
      </c>
      <c r="G67" s="390" t="e">
        <f>#REF!*$B$86*$B$87</f>
        <v>#REF!</v>
      </c>
      <c r="H67" s="390" t="e">
        <f>#REF!</f>
        <v>#REF!</v>
      </c>
      <c r="I67" s="389"/>
      <c r="J67" s="390"/>
      <c r="K67" s="509"/>
      <c r="L67" s="509"/>
      <c r="M67" s="689" t="e">
        <f>CONCATENATE(#REF!, " + ",#REF!)</f>
        <v>#REF!</v>
      </c>
    </row>
    <row r="68" spans="1:13" ht="76.5" x14ac:dyDescent="0.2">
      <c r="A68" s="343" t="e">
        <f>#REF!</f>
        <v>#REF!</v>
      </c>
      <c r="B68" s="347" t="e">
        <f>#REF!</f>
        <v>#REF!</v>
      </c>
      <c r="C68" s="389" t="e">
        <f>#REF!</f>
        <v>#REF!</v>
      </c>
      <c r="D68" s="389" t="e">
        <f>#REF!</f>
        <v>#REF!</v>
      </c>
      <c r="E68" s="477" t="e">
        <f>#REF!</f>
        <v>#REF!</v>
      </c>
      <c r="F68" s="477" t="e">
        <f>#REF!</f>
        <v>#REF!</v>
      </c>
      <c r="G68" s="390" t="e">
        <f>#REF!*$B$86*$B$87</f>
        <v>#REF!</v>
      </c>
      <c r="H68" s="390" t="e">
        <f>#REF!</f>
        <v>#REF!</v>
      </c>
      <c r="I68" s="369" t="e">
        <f t="shared" si="0"/>
        <v>#REF!</v>
      </c>
      <c r="J68" s="370" t="e">
        <f t="shared" si="1"/>
        <v>#REF!</v>
      </c>
      <c r="K68" s="371" t="e">
        <f t="shared" si="2"/>
        <v>#REF!</v>
      </c>
      <c r="L68" s="372" t="e">
        <f t="shared" si="3"/>
        <v>#REF!</v>
      </c>
      <c r="M68" s="689" t="e">
        <f>CONCATENATE(#REF!, " + ",#REF!)</f>
        <v>#REF!</v>
      </c>
    </row>
    <row r="69" spans="1:13" ht="78.75" x14ac:dyDescent="0.2">
      <c r="A69" s="399" t="e">
        <f>#REF!</f>
        <v>#REF!</v>
      </c>
      <c r="B69" s="340" t="e">
        <f>#REF!</f>
        <v>#REF!</v>
      </c>
      <c r="C69" s="400" t="e">
        <f>#REF!</f>
        <v>#REF!</v>
      </c>
      <c r="D69" s="400" t="e">
        <f>#REF!</f>
        <v>#REF!</v>
      </c>
      <c r="E69" s="476" t="e">
        <f>#REF!</f>
        <v>#REF!</v>
      </c>
      <c r="F69" s="476" t="e">
        <f>#REF!</f>
        <v>#REF!</v>
      </c>
      <c r="G69" s="401" t="e">
        <f>#REF!*$B$86*$B$87</f>
        <v>#REF!</v>
      </c>
      <c r="H69" s="401" t="e">
        <f>#REF!</f>
        <v>#REF!</v>
      </c>
      <c r="I69" s="402" t="e">
        <f t="shared" si="0"/>
        <v>#REF!</v>
      </c>
      <c r="J69" s="403" t="e">
        <f t="shared" si="1"/>
        <v>#REF!</v>
      </c>
      <c r="K69" s="404" t="e">
        <f t="shared" si="2"/>
        <v>#REF!</v>
      </c>
      <c r="L69" s="405" t="e">
        <f t="shared" si="3"/>
        <v>#REF!</v>
      </c>
      <c r="M69" s="689" t="e">
        <f>CONCATENATE(#REF!, " + ",#REF!)</f>
        <v>#REF!</v>
      </c>
    </row>
    <row r="70" spans="1:13" ht="76.5" x14ac:dyDescent="0.2">
      <c r="A70" s="412" t="e">
        <f>#REF!</f>
        <v>#REF!</v>
      </c>
      <c r="B70" s="347" t="e">
        <f>#REF!</f>
        <v>#REF!</v>
      </c>
      <c r="C70" s="400" t="e">
        <f>#REF!</f>
        <v>#REF!</v>
      </c>
      <c r="D70" s="400" t="e">
        <f>#REF!</f>
        <v>#REF!</v>
      </c>
      <c r="E70" s="476" t="e">
        <f>#REF!</f>
        <v>#REF!</v>
      </c>
      <c r="F70" s="476" t="e">
        <f>#REF!</f>
        <v>#REF!</v>
      </c>
      <c r="G70" s="401" t="s">
        <v>458</v>
      </c>
      <c r="H70" s="401" t="e">
        <f>#REF!</f>
        <v>#REF!</v>
      </c>
      <c r="I70" s="401" t="e">
        <f>#REF!</f>
        <v>#REF!</v>
      </c>
      <c r="J70" s="401" t="e">
        <f>#REF!</f>
        <v>#REF!</v>
      </c>
      <c r="K70" s="401" t="e">
        <f>#REF!</f>
        <v>#REF!</v>
      </c>
      <c r="L70" s="401" t="e">
        <f>#REF!</f>
        <v>#REF!</v>
      </c>
      <c r="M70" s="689" t="s">
        <v>458</v>
      </c>
    </row>
    <row r="71" spans="1:13" ht="30" x14ac:dyDescent="0.2">
      <c r="A71" s="343" t="e">
        <f>#REF!</f>
        <v>#REF!</v>
      </c>
      <c r="B71" s="347" t="e">
        <f>#REF!</f>
        <v>#REF!</v>
      </c>
      <c r="C71" s="389" t="e">
        <f>#REF!</f>
        <v>#REF!</v>
      </c>
      <c r="D71" s="389" t="e">
        <f>#REF!</f>
        <v>#REF!</v>
      </c>
      <c r="E71" s="477" t="e">
        <f>#REF!</f>
        <v>#REF!</v>
      </c>
      <c r="F71" s="477" t="e">
        <f>#REF!</f>
        <v>#REF!</v>
      </c>
      <c r="G71" s="389" t="e">
        <f>#REF!*$B$86*$B$87</f>
        <v>#REF!</v>
      </c>
      <c r="H71" s="389" t="e">
        <f>#REF!</f>
        <v>#REF!</v>
      </c>
      <c r="I71" s="390" t="e">
        <f t="shared" ref="I71" si="20">D71-C71</f>
        <v>#REF!</v>
      </c>
      <c r="J71" s="390" t="e">
        <f t="shared" ref="J71" si="21">H71-G71</f>
        <v>#REF!</v>
      </c>
      <c r="K71" s="509" t="e">
        <f t="shared" ref="K71" si="22">D71/C71</f>
        <v>#REF!</v>
      </c>
      <c r="L71" s="509" t="e">
        <f t="shared" ref="L71" si="23">H71/G71</f>
        <v>#REF!</v>
      </c>
      <c r="M71" s="689" t="e">
        <f>CONCATENATE(#REF!, " + ",#REF!)</f>
        <v>#REF!</v>
      </c>
    </row>
    <row r="72" spans="1:13" ht="102" x14ac:dyDescent="0.2">
      <c r="A72" s="343" t="e">
        <f>#REF!</f>
        <v>#REF!</v>
      </c>
      <c r="B72" s="510" t="e">
        <f>#REF!</f>
        <v>#REF!</v>
      </c>
      <c r="C72" s="389" t="e">
        <f>#REF!</f>
        <v>#REF!</v>
      </c>
      <c r="D72" s="389" t="e">
        <f>#REF!</f>
        <v>#REF!</v>
      </c>
      <c r="E72" s="477" t="e">
        <f>#REF!</f>
        <v>#REF!</v>
      </c>
      <c r="F72" s="477" t="e">
        <f>#REF!</f>
        <v>#REF!</v>
      </c>
      <c r="G72" s="390" t="e">
        <f>#REF!*$B$86*$B$87</f>
        <v>#REF!</v>
      </c>
      <c r="H72" s="390" t="e">
        <f>#REF!</f>
        <v>#REF!</v>
      </c>
      <c r="I72" s="390" t="e">
        <f t="shared" ref="I72:I77" si="24">D72-C72</f>
        <v>#REF!</v>
      </c>
      <c r="J72" s="390" t="e">
        <f t="shared" ref="J72:J84" si="25">H72-G72</f>
        <v>#REF!</v>
      </c>
      <c r="K72" s="509" t="e">
        <f t="shared" ref="K72:K77" si="26">D72/C72</f>
        <v>#REF!</v>
      </c>
      <c r="L72" s="509" t="e">
        <f t="shared" ref="L72:L84" si="27">H72/G72</f>
        <v>#REF!</v>
      </c>
      <c r="M72" s="689" t="e">
        <f>CONCATENATE(#REF!, " + ",#REF!)</f>
        <v>#REF!</v>
      </c>
    </row>
    <row r="73" spans="1:13" ht="30.75" x14ac:dyDescent="0.2">
      <c r="A73" s="341" t="e">
        <f>#REF!</f>
        <v>#REF!</v>
      </c>
      <c r="B73" s="723" t="e">
        <f>#REF!</f>
        <v>#REF!</v>
      </c>
      <c r="C73" s="400" t="e">
        <f>#REF!</f>
        <v>#REF!</v>
      </c>
      <c r="D73" s="400" t="e">
        <f>#REF!</f>
        <v>#REF!</v>
      </c>
      <c r="E73" s="476" t="e">
        <f>#REF!</f>
        <v>#REF!</v>
      </c>
      <c r="F73" s="476" t="e">
        <f>#REF!</f>
        <v>#REF!</v>
      </c>
      <c r="G73" s="401" t="e">
        <f>#REF!*$B$86</f>
        <v>#REF!</v>
      </c>
      <c r="H73" s="401" t="e">
        <f>#REF!</f>
        <v>#REF!</v>
      </c>
      <c r="I73" s="400" t="e">
        <f t="shared" si="24"/>
        <v>#REF!</v>
      </c>
      <c r="J73" s="401" t="e">
        <f t="shared" si="25"/>
        <v>#REF!</v>
      </c>
      <c r="K73" s="724" t="e">
        <f t="shared" si="26"/>
        <v>#REF!</v>
      </c>
      <c r="L73" s="724" t="e">
        <f t="shared" si="27"/>
        <v>#REF!</v>
      </c>
      <c r="M73" s="689" t="e">
        <f>CONCATENATE(#REF!, " + ",#REF!)</f>
        <v>#REF!</v>
      </c>
    </row>
    <row r="74" spans="1:13" ht="58.5" customHeight="1" x14ac:dyDescent="0.2">
      <c r="A74" s="341" t="e">
        <f>#REF!</f>
        <v>#REF!</v>
      </c>
      <c r="B74" s="413" t="e">
        <f>#REF!</f>
        <v>#REF!</v>
      </c>
      <c r="C74" s="400" t="e">
        <f>#REF!</f>
        <v>#REF!</v>
      </c>
      <c r="D74" s="400" t="e">
        <f>#REF!</f>
        <v>#REF!</v>
      </c>
      <c r="E74" s="476" t="e">
        <f>#REF!</f>
        <v>#REF!</v>
      </c>
      <c r="F74" s="476" t="e">
        <f>#REF!</f>
        <v>#REF!</v>
      </c>
      <c r="G74" s="401" t="e">
        <f>#REF!*$B$86*$B$87</f>
        <v>#REF!</v>
      </c>
      <c r="H74" s="401" t="e">
        <f>#REF!</f>
        <v>#REF!</v>
      </c>
      <c r="I74" s="402" t="e">
        <f t="shared" si="24"/>
        <v>#REF!</v>
      </c>
      <c r="J74" s="403" t="e">
        <f t="shared" si="25"/>
        <v>#REF!</v>
      </c>
      <c r="K74" s="404" t="e">
        <f t="shared" si="26"/>
        <v>#REF!</v>
      </c>
      <c r="L74" s="405" t="e">
        <f t="shared" si="27"/>
        <v>#REF!</v>
      </c>
      <c r="M74" s="689" t="e">
        <f>CONCATENATE(#REF!, " + ",#REF!)</f>
        <v>#REF!</v>
      </c>
    </row>
    <row r="75" spans="1:13" ht="127.5" x14ac:dyDescent="0.2">
      <c r="A75" s="345" t="e">
        <f>#REF!</f>
        <v>#REF!</v>
      </c>
      <c r="B75" s="725" t="e">
        <f>#REF!</f>
        <v>#REF!</v>
      </c>
      <c r="C75" s="389" t="e">
        <f>#REF!</f>
        <v>#REF!</v>
      </c>
      <c r="D75" s="389" t="e">
        <f>#REF!</f>
        <v>#REF!</v>
      </c>
      <c r="E75" s="477" t="e">
        <f>#REF!</f>
        <v>#REF!</v>
      </c>
      <c r="F75" s="477" t="e">
        <f>#REF!</f>
        <v>#REF!</v>
      </c>
      <c r="G75" s="390" t="e">
        <f>#REF!*$B$86*$B$87</f>
        <v>#REF!</v>
      </c>
      <c r="H75" s="390" t="e">
        <f>#REF!</f>
        <v>#REF!</v>
      </c>
      <c r="I75" s="369" t="e">
        <f t="shared" si="24"/>
        <v>#REF!</v>
      </c>
      <c r="J75" s="370" t="e">
        <f t="shared" si="25"/>
        <v>#REF!</v>
      </c>
      <c r="K75" s="371" t="e">
        <f t="shared" si="26"/>
        <v>#REF!</v>
      </c>
      <c r="L75" s="372" t="e">
        <f t="shared" si="27"/>
        <v>#REF!</v>
      </c>
      <c r="M75" s="689" t="e">
        <f>CONCATENATE(#REF!, " + ",#REF!)</f>
        <v>#REF!</v>
      </c>
    </row>
    <row r="76" spans="1:13" ht="63.75" customHeight="1" x14ac:dyDescent="0.2">
      <c r="A76" s="342" t="e">
        <f>#REF!</f>
        <v>#REF!</v>
      </c>
      <c r="B76" s="723" t="e">
        <f>#REF!</f>
        <v>#REF!</v>
      </c>
      <c r="C76" s="400" t="e">
        <f>#REF!</f>
        <v>#REF!</v>
      </c>
      <c r="D76" s="400" t="e">
        <f>#REF!</f>
        <v>#REF!</v>
      </c>
      <c r="E76" s="476" t="e">
        <f>#REF!</f>
        <v>#REF!</v>
      </c>
      <c r="F76" s="476" t="e">
        <f>#REF!</f>
        <v>#REF!</v>
      </c>
      <c r="G76" s="401" t="e">
        <f>#REF!*$B$86</f>
        <v>#REF!</v>
      </c>
      <c r="H76" s="401" t="e">
        <f>#REF!</f>
        <v>#REF!</v>
      </c>
      <c r="I76" s="400" t="e">
        <f t="shared" si="24"/>
        <v>#REF!</v>
      </c>
      <c r="J76" s="401" t="e">
        <f t="shared" si="25"/>
        <v>#REF!</v>
      </c>
      <c r="K76" s="724" t="e">
        <f t="shared" si="26"/>
        <v>#REF!</v>
      </c>
      <c r="L76" s="724" t="e">
        <f t="shared" si="27"/>
        <v>#REF!</v>
      </c>
      <c r="M76" s="689" t="e">
        <f>CONCATENATE(#REF!, " + ",#REF!)</f>
        <v>#REF!</v>
      </c>
    </row>
    <row r="77" spans="1:13" ht="63.75" customHeight="1" x14ac:dyDescent="0.2">
      <c r="A77" s="342" t="e">
        <f>#REF!</f>
        <v>#REF!</v>
      </c>
      <c r="B77" s="413" t="e">
        <f>#REF!</f>
        <v>#REF!</v>
      </c>
      <c r="C77" s="400" t="e">
        <f>#REF!</f>
        <v>#REF!</v>
      </c>
      <c r="D77" s="400" t="e">
        <f>#REF!</f>
        <v>#REF!</v>
      </c>
      <c r="E77" s="476" t="e">
        <f>#REF!</f>
        <v>#REF!</v>
      </c>
      <c r="F77" s="476" t="e">
        <f>#REF!</f>
        <v>#REF!</v>
      </c>
      <c r="G77" s="401" t="e">
        <f>#REF!*$B$86*$B$87</f>
        <v>#REF!</v>
      </c>
      <c r="H77" s="401" t="e">
        <f>#REF!</f>
        <v>#REF!</v>
      </c>
      <c r="I77" s="402" t="e">
        <f t="shared" si="24"/>
        <v>#REF!</v>
      </c>
      <c r="J77" s="403" t="e">
        <f t="shared" si="25"/>
        <v>#REF!</v>
      </c>
      <c r="K77" s="404" t="e">
        <f t="shared" si="26"/>
        <v>#REF!</v>
      </c>
      <c r="L77" s="405" t="e">
        <f t="shared" si="27"/>
        <v>#REF!</v>
      </c>
      <c r="M77" s="689" t="e">
        <f>CONCATENATE(#REF!, " + ",#REF!)</f>
        <v>#REF!</v>
      </c>
    </row>
    <row r="78" spans="1:13" ht="52.5" hidden="1" x14ac:dyDescent="0.2">
      <c r="A78" s="353" t="s">
        <v>478</v>
      </c>
      <c r="B78" s="354" t="s">
        <v>87</v>
      </c>
      <c r="C78" s="362" t="s">
        <v>87</v>
      </c>
      <c r="D78" s="362" t="s">
        <v>87</v>
      </c>
      <c r="E78" s="472" t="e">
        <f>#REF!</f>
        <v>#REF!</v>
      </c>
      <c r="F78" s="472" t="e">
        <f>#REF!</f>
        <v>#REF!</v>
      </c>
      <c r="G78" s="393" t="e">
        <f>#REF!</f>
        <v>#REF!</v>
      </c>
      <c r="H78" s="393" t="e">
        <f>#REF!</f>
        <v>#REF!</v>
      </c>
      <c r="I78" s="394"/>
      <c r="J78" s="394" t="e">
        <f t="shared" si="25"/>
        <v>#REF!</v>
      </c>
      <c r="K78" s="379"/>
      <c r="L78" s="379" t="e">
        <f t="shared" si="27"/>
        <v>#REF!</v>
      </c>
      <c r="M78" s="689" t="e">
        <f>CONCATENATE(#REF!, " + ",#REF!)</f>
        <v>#REF!</v>
      </c>
    </row>
    <row r="79" spans="1:13" ht="30.75" hidden="1" x14ac:dyDescent="0.2">
      <c r="A79" s="348" t="s">
        <v>128</v>
      </c>
      <c r="B79" s="359" t="s">
        <v>87</v>
      </c>
      <c r="C79" s="365" t="s">
        <v>87</v>
      </c>
      <c r="D79" s="363"/>
      <c r="E79" s="385"/>
      <c r="F79" s="385"/>
      <c r="G79" s="395" t="e">
        <f>#REF!</f>
        <v>#REF!</v>
      </c>
      <c r="H79" s="395" t="e">
        <f>#REF!</f>
        <v>#REF!</v>
      </c>
      <c r="I79" s="396"/>
      <c r="J79" s="397" t="e">
        <f t="shared" si="25"/>
        <v>#REF!</v>
      </c>
      <c r="K79" s="371"/>
      <c r="L79" s="372" t="e">
        <f t="shared" si="27"/>
        <v>#REF!</v>
      </c>
      <c r="M79" s="689" t="e">
        <f>CONCATENATE(#REF!, " + ",#REF!)</f>
        <v>#REF!</v>
      </c>
    </row>
    <row r="80" spans="1:13" ht="30.75" hidden="1" x14ac:dyDescent="0.2">
      <c r="A80" s="348" t="s">
        <v>129</v>
      </c>
      <c r="B80" s="359" t="s">
        <v>87</v>
      </c>
      <c r="C80" s="365" t="s">
        <v>87</v>
      </c>
      <c r="D80" s="363"/>
      <c r="E80" s="385"/>
      <c r="F80" s="385"/>
      <c r="G80" s="395" t="e">
        <f>#REF!</f>
        <v>#REF!</v>
      </c>
      <c r="H80" s="395" t="e">
        <f>#REF!</f>
        <v>#REF!</v>
      </c>
      <c r="I80" s="396"/>
      <c r="J80" s="397" t="e">
        <f t="shared" si="25"/>
        <v>#REF!</v>
      </c>
      <c r="K80" s="371"/>
      <c r="L80" s="372" t="e">
        <f t="shared" si="27"/>
        <v>#REF!</v>
      </c>
      <c r="M80" s="689" t="e">
        <f>CONCATENATE(#REF!, " + ",#REF!)</f>
        <v>#REF!</v>
      </c>
    </row>
    <row r="81" spans="1:13" ht="30" hidden="1" x14ac:dyDescent="0.2">
      <c r="A81" s="355" t="s">
        <v>118</v>
      </c>
      <c r="B81" s="356" t="s">
        <v>87</v>
      </c>
      <c r="C81" s="364" t="s">
        <v>87</v>
      </c>
      <c r="D81" s="364"/>
      <c r="E81" s="364"/>
      <c r="F81" s="364"/>
      <c r="G81" s="364" t="e">
        <f>#REF!</f>
        <v>#REF!</v>
      </c>
      <c r="H81" s="364" t="e">
        <f>#REF!</f>
        <v>#REF!</v>
      </c>
      <c r="I81" s="392"/>
      <c r="J81" s="382" t="e">
        <f t="shared" si="25"/>
        <v>#REF!</v>
      </c>
      <c r="K81" s="383"/>
      <c r="L81" s="383" t="e">
        <f t="shared" si="27"/>
        <v>#REF!</v>
      </c>
      <c r="M81" s="689" t="e">
        <f>CONCATENATE(#REF!, " + ",#REF!)</f>
        <v>#REF!</v>
      </c>
    </row>
    <row r="82" spans="1:13" ht="30" hidden="1" x14ac:dyDescent="0.2">
      <c r="A82" s="357" t="s">
        <v>128</v>
      </c>
      <c r="B82" s="359" t="s">
        <v>87</v>
      </c>
      <c r="C82" s="365" t="s">
        <v>87</v>
      </c>
      <c r="D82" s="363"/>
      <c r="E82" s="385"/>
      <c r="F82" s="385"/>
      <c r="G82" s="385" t="e">
        <f>#REF!</f>
        <v>#REF!</v>
      </c>
      <c r="H82" s="385" t="e">
        <f>#REF!</f>
        <v>#REF!</v>
      </c>
      <c r="I82" s="369"/>
      <c r="J82" s="370" t="e">
        <f t="shared" si="25"/>
        <v>#REF!</v>
      </c>
      <c r="K82" s="371"/>
      <c r="L82" s="372" t="e">
        <f t="shared" si="27"/>
        <v>#REF!</v>
      </c>
      <c r="M82" s="689" t="e">
        <f>CONCATENATE(#REF!, " + ",#REF!)</f>
        <v>#REF!</v>
      </c>
    </row>
    <row r="83" spans="1:13" ht="30" hidden="1" x14ac:dyDescent="0.2">
      <c r="A83" s="357" t="s">
        <v>129</v>
      </c>
      <c r="B83" s="359" t="s">
        <v>87</v>
      </c>
      <c r="C83" s="365" t="s">
        <v>87</v>
      </c>
      <c r="D83" s="363"/>
      <c r="E83" s="385"/>
      <c r="F83" s="385"/>
      <c r="G83" s="385" t="e">
        <f>#REF!</f>
        <v>#REF!</v>
      </c>
      <c r="H83" s="385" t="e">
        <f>#REF!</f>
        <v>#REF!</v>
      </c>
      <c r="I83" s="369"/>
      <c r="J83" s="370" t="e">
        <f t="shared" si="25"/>
        <v>#REF!</v>
      </c>
      <c r="K83" s="371"/>
      <c r="L83" s="372" t="e">
        <f t="shared" si="27"/>
        <v>#REF!</v>
      </c>
      <c r="M83" s="689" t="e">
        <f>CONCATENATE(#REF!, " + ",#REF!)</f>
        <v>#REF!</v>
      </c>
    </row>
    <row r="84" spans="1:13" ht="30" x14ac:dyDescent="0.2">
      <c r="A84" s="358" t="s">
        <v>117</v>
      </c>
      <c r="B84" s="359" t="s">
        <v>87</v>
      </c>
      <c r="C84" s="365" t="s">
        <v>87</v>
      </c>
      <c r="D84" s="365"/>
      <c r="E84" s="473"/>
      <c r="F84" s="473"/>
      <c r="G84" s="384" t="e">
        <f>#REF!</f>
        <v>#REF!</v>
      </c>
      <c r="H84" s="384" t="e">
        <f>#REF!</f>
        <v>#REF!</v>
      </c>
      <c r="I84" s="369"/>
      <c r="J84" s="370" t="e">
        <f t="shared" si="25"/>
        <v>#REF!</v>
      </c>
      <c r="K84" s="371"/>
      <c r="L84" s="372" t="e">
        <f t="shared" si="27"/>
        <v>#REF!</v>
      </c>
      <c r="M84" s="834" t="e">
        <f>CONCATENATE(#REF!, " + ",#REF!)</f>
        <v>#REF!</v>
      </c>
    </row>
    <row r="85" spans="1:13" ht="30" hidden="1" x14ac:dyDescent="0.4">
      <c r="A85" s="157"/>
      <c r="B85" s="157"/>
      <c r="C85" s="157"/>
      <c r="D85" s="157"/>
      <c r="E85" s="157"/>
      <c r="F85" s="157"/>
      <c r="G85" s="137"/>
      <c r="H85" s="137"/>
      <c r="I85" s="137"/>
      <c r="J85" s="137"/>
      <c r="K85" s="137"/>
      <c r="L85" s="137"/>
      <c r="M85" s="689" t="e">
        <f>CONCATENATE(#REF!, " + ",#REF!)</f>
        <v>#REF!</v>
      </c>
    </row>
    <row r="86" spans="1:13" ht="30" hidden="1" x14ac:dyDescent="0.4">
      <c r="A86" s="164" t="s">
        <v>536</v>
      </c>
      <c r="B86" s="164">
        <v>1.1983525281704299</v>
      </c>
      <c r="C86" s="157"/>
      <c r="D86" s="157"/>
      <c r="E86" s="157"/>
      <c r="F86" s="157"/>
      <c r="G86" s="137"/>
      <c r="H86" s="137"/>
      <c r="I86" s="137"/>
      <c r="J86" s="137"/>
      <c r="K86" s="137"/>
      <c r="L86" s="137"/>
      <c r="M86" s="689" t="e">
        <f>CONCATENATE(#REF!, " + ",#REF!)</f>
        <v>#REF!</v>
      </c>
    </row>
    <row r="87" spans="1:13" ht="30" hidden="1" x14ac:dyDescent="0.4">
      <c r="A87" s="164" t="s">
        <v>537</v>
      </c>
      <c r="B87" s="164">
        <v>1.0072195473933401</v>
      </c>
      <c r="C87" s="157"/>
      <c r="D87" s="157"/>
      <c r="E87" s="157"/>
      <c r="F87" s="157"/>
      <c r="G87" s="137"/>
      <c r="H87" s="137"/>
      <c r="I87" s="137"/>
      <c r="J87" s="137"/>
      <c r="K87" s="137"/>
      <c r="L87" s="137"/>
      <c r="M87" s="689" t="e">
        <f>CONCATENATE(#REF!, " + ",#REF!)</f>
        <v>#REF!</v>
      </c>
    </row>
    <row r="88" spans="1:13" ht="30" hidden="1" x14ac:dyDescent="0.4">
      <c r="A88" s="157"/>
      <c r="B88" s="157"/>
      <c r="C88" s="157"/>
      <c r="D88" s="157"/>
      <c r="E88" s="157"/>
      <c r="F88" s="157"/>
      <c r="G88" s="137"/>
      <c r="H88" s="137"/>
      <c r="I88" s="137"/>
      <c r="J88" s="137"/>
      <c r="K88" s="137"/>
      <c r="L88" s="137"/>
      <c r="M88" s="689" t="e">
        <f>CONCATENATE(#REF!, " + ",#REF!)</f>
        <v>#REF!</v>
      </c>
    </row>
    <row r="89" spans="1:13" ht="170.25" hidden="1" customHeight="1" x14ac:dyDescent="0.2">
      <c r="A89" s="1639" t="s">
        <v>479</v>
      </c>
      <c r="B89" s="1639"/>
      <c r="C89" s="1639"/>
      <c r="D89" s="1639"/>
      <c r="E89" s="386"/>
      <c r="F89" s="386"/>
      <c r="G89" s="387"/>
      <c r="H89" s="387"/>
      <c r="I89" s="387"/>
      <c r="J89" s="387"/>
      <c r="K89" s="387"/>
      <c r="L89" s="387"/>
      <c r="M89" s="387"/>
    </row>
    <row r="90" spans="1:13" ht="25.5" hidden="1" x14ac:dyDescent="0.2">
      <c r="A90" s="512"/>
      <c r="B90" s="512"/>
      <c r="C90" s="512"/>
      <c r="D90" s="512"/>
      <c r="E90" s="386"/>
      <c r="F90" s="386"/>
      <c r="G90" s="387"/>
      <c r="H90" s="387"/>
      <c r="I90" s="387"/>
      <c r="J90" s="387"/>
      <c r="K90" s="387"/>
      <c r="L90" s="387"/>
      <c r="M90" s="387"/>
    </row>
    <row r="91" spans="1:13" ht="60" hidden="1" x14ac:dyDescent="0.2">
      <c r="A91" s="513" t="s">
        <v>480</v>
      </c>
      <c r="B91" s="513" t="s">
        <v>364</v>
      </c>
      <c r="C91" s="513" t="s">
        <v>363</v>
      </c>
      <c r="D91" s="513" t="s">
        <v>481</v>
      </c>
      <c r="E91" s="469"/>
      <c r="F91" s="469"/>
      <c r="G91" s="387"/>
      <c r="H91" s="387"/>
      <c r="I91" s="387"/>
      <c r="J91" s="387"/>
      <c r="K91" s="387"/>
      <c r="L91" s="387"/>
      <c r="M91" s="387"/>
    </row>
    <row r="92" spans="1:13" ht="30.75" hidden="1" x14ac:dyDescent="0.2">
      <c r="A92" s="514" t="s">
        <v>482</v>
      </c>
      <c r="B92" s="515">
        <v>296947056.50155783</v>
      </c>
      <c r="C92" s="516">
        <v>327132361.58281404</v>
      </c>
      <c r="D92" s="516">
        <v>240060084.31468999</v>
      </c>
      <c r="E92" s="470"/>
      <c r="F92" s="470"/>
      <c r="G92" s="388"/>
      <c r="H92" s="388"/>
      <c r="I92" s="388"/>
      <c r="J92" s="388"/>
      <c r="K92" s="388"/>
      <c r="L92" s="388"/>
      <c r="M92" s="388"/>
    </row>
    <row r="93" spans="1:13" ht="30.75" hidden="1" x14ac:dyDescent="0.2">
      <c r="A93" s="514" t="s">
        <v>483</v>
      </c>
      <c r="B93" s="517">
        <v>220203891.279347</v>
      </c>
      <c r="C93" s="516">
        <v>239613408.25632998</v>
      </c>
      <c r="D93" s="516">
        <v>172913367.86332008</v>
      </c>
      <c r="E93" s="470"/>
      <c r="F93" s="470"/>
      <c r="G93" s="388"/>
      <c r="H93" s="388"/>
      <c r="I93" s="388"/>
      <c r="J93" s="388"/>
      <c r="K93" s="388"/>
      <c r="L93" s="388"/>
      <c r="M93" s="388"/>
    </row>
    <row r="94" spans="1:13" ht="30.75" hidden="1" x14ac:dyDescent="0.2">
      <c r="A94" s="514" t="s">
        <v>484</v>
      </c>
      <c r="B94" s="518">
        <v>5.471298</v>
      </c>
      <c r="C94" s="519">
        <v>5.5524579999999997</v>
      </c>
      <c r="D94" s="519">
        <v>4.5775930000000002</v>
      </c>
      <c r="E94" s="471"/>
      <c r="F94" s="471"/>
      <c r="G94" s="387"/>
      <c r="H94" s="387"/>
      <c r="I94" s="387"/>
      <c r="J94" s="387"/>
      <c r="K94" s="387"/>
      <c r="L94" s="387"/>
      <c r="M94" s="387"/>
    </row>
  </sheetData>
  <mergeCells count="16">
    <mergeCell ref="C7:C8"/>
    <mergeCell ref="D7:D8"/>
    <mergeCell ref="E7:E8"/>
    <mergeCell ref="A89:D89"/>
    <mergeCell ref="A6:A8"/>
    <mergeCell ref="B6:B8"/>
    <mergeCell ref="C6:D6"/>
    <mergeCell ref="E6:F6"/>
    <mergeCell ref="M6:M8"/>
    <mergeCell ref="F7:F8"/>
    <mergeCell ref="G7:G8"/>
    <mergeCell ref="H7:H8"/>
    <mergeCell ref="I7:J7"/>
    <mergeCell ref="K7:L7"/>
    <mergeCell ref="G6:H6"/>
    <mergeCell ref="I6:L6"/>
  </mergeCells>
  <conditionalFormatting sqref="I10:M10 I12:M39 I40:L58 M40:M88 I60:L69 I71:L84">
    <cfRule type="cellIs" dxfId="7" priority="1" operator="lessThan">
      <formula>0</formula>
    </cfRule>
  </conditionalFormatting>
  <pageMargins left="0.25" right="0.25" top="0.75" bottom="0.75" header="0.3" footer="0.3"/>
  <pageSetup paperSize="9" scale="29" fitToHeight="0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D85D-BD1A-4B51-B545-7EEC052449CC}">
  <sheetPr>
    <pageSetUpPr fitToPage="1"/>
  </sheetPr>
  <dimension ref="A1:Q28"/>
  <sheetViews>
    <sheetView zoomScale="50" zoomScaleNormal="50" workbookViewId="0">
      <selection activeCell="E13" sqref="E13"/>
    </sheetView>
  </sheetViews>
  <sheetFormatPr defaultRowHeight="12.75" x14ac:dyDescent="0.2"/>
  <cols>
    <col min="1" max="1" width="29.28515625" customWidth="1"/>
    <col min="2" max="2" width="25.85546875" customWidth="1"/>
    <col min="3" max="3" width="25.5703125" customWidth="1"/>
    <col min="4" max="4" width="26.7109375" customWidth="1"/>
    <col min="5" max="5" width="24.42578125" customWidth="1"/>
    <col min="6" max="6" width="22.7109375" customWidth="1"/>
    <col min="7" max="7" width="19.85546875" customWidth="1"/>
    <col min="8" max="8" width="14" customWidth="1"/>
    <col min="9" max="9" width="14.5703125" customWidth="1"/>
    <col min="10" max="10" width="15.140625" customWidth="1"/>
    <col min="11" max="11" width="15.7109375" customWidth="1"/>
    <col min="12" max="12" width="18.85546875" customWidth="1"/>
    <col min="13" max="13" width="23.7109375" customWidth="1"/>
    <col min="14" max="14" width="21.140625" customWidth="1"/>
  </cols>
  <sheetData>
    <row r="1" spans="1:17" ht="22.5" x14ac:dyDescent="0.3">
      <c r="A1" s="1645" t="s">
        <v>706</v>
      </c>
      <c r="B1" s="1645"/>
      <c r="C1" s="1645"/>
      <c r="D1" s="1645"/>
      <c r="E1" s="1645"/>
      <c r="F1" s="1645"/>
      <c r="G1" s="1645"/>
      <c r="H1" s="1645"/>
      <c r="I1" s="1645"/>
      <c r="J1" s="1645"/>
      <c r="K1" s="1645"/>
      <c r="L1" s="1645"/>
    </row>
    <row r="2" spans="1:17" ht="22.5" x14ac:dyDescent="0.3">
      <c r="A2" s="71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7" ht="67.5" customHeight="1" x14ac:dyDescent="0.3">
      <c r="A3" s="720"/>
      <c r="B3" s="720" t="s">
        <v>711</v>
      </c>
      <c r="C3" s="720" t="s">
        <v>710</v>
      </c>
      <c r="D3" s="720" t="s">
        <v>709</v>
      </c>
      <c r="E3" s="720" t="s">
        <v>713</v>
      </c>
      <c r="F3" s="127"/>
      <c r="G3" s="127"/>
      <c r="H3" s="127"/>
      <c r="I3" s="127"/>
      <c r="J3" s="127"/>
      <c r="K3" s="127"/>
      <c r="L3" s="127"/>
    </row>
    <row r="4" spans="1:17" ht="45" x14ac:dyDescent="0.3">
      <c r="A4" s="718" t="s">
        <v>708</v>
      </c>
      <c r="B4" s="722" t="e">
        <f>#REF!</f>
        <v>#REF!</v>
      </c>
      <c r="C4" s="722" t="e">
        <f>#REF!-#REF!</f>
        <v>#REF!</v>
      </c>
      <c r="D4" s="719" t="e">
        <f>#REF!</f>
        <v>#REF!</v>
      </c>
      <c r="E4" s="788" t="e">
        <f>#REF!</f>
        <v>#REF!</v>
      </c>
      <c r="F4" s="717"/>
      <c r="G4" s="717"/>
      <c r="H4" s="127"/>
      <c r="I4" s="127"/>
      <c r="J4" s="127"/>
      <c r="K4" s="127"/>
      <c r="L4" s="127"/>
    </row>
    <row r="5" spans="1:17" ht="48" customHeight="1" x14ac:dyDescent="0.3">
      <c r="A5" s="718" t="s">
        <v>365</v>
      </c>
      <c r="B5" s="722" t="e">
        <f>#REF!</f>
        <v>#REF!</v>
      </c>
      <c r="C5" s="722" t="e">
        <f>#REF!-#REF!</f>
        <v>#REF!</v>
      </c>
      <c r="D5" s="719" t="e">
        <f>#REF!</f>
        <v>#REF!</v>
      </c>
      <c r="E5" s="788" t="e">
        <f>#REF!</f>
        <v>#REF!</v>
      </c>
      <c r="F5" s="717"/>
      <c r="G5" s="717"/>
      <c r="H5" s="127"/>
      <c r="I5" s="127"/>
      <c r="J5" s="127"/>
      <c r="K5" s="127"/>
      <c r="L5" s="127"/>
    </row>
    <row r="6" spans="1:17" s="74" customFormat="1" ht="46.5" customHeight="1" x14ac:dyDescent="0.5">
      <c r="A6" s="157"/>
      <c r="C6" s="138"/>
      <c r="E6" s="678"/>
      <c r="G6" s="144"/>
      <c r="H6" s="144"/>
      <c r="I6" s="144"/>
      <c r="J6" s="144"/>
      <c r="K6" s="144"/>
      <c r="L6" s="223"/>
      <c r="N6" s="502"/>
      <c r="O6" s="503"/>
      <c r="P6" s="504"/>
    </row>
    <row r="7" spans="1:17" s="74" customFormat="1" ht="46.5" customHeight="1" x14ac:dyDescent="0.4">
      <c r="A7" s="133"/>
      <c r="B7" s="711">
        <v>2022</v>
      </c>
      <c r="C7" s="711">
        <v>2023</v>
      </c>
      <c r="D7" s="711">
        <v>2024</v>
      </c>
      <c r="E7" s="711">
        <v>2025</v>
      </c>
      <c r="F7" s="711">
        <v>2026</v>
      </c>
      <c r="G7" s="711">
        <v>2027</v>
      </c>
      <c r="H7" s="707"/>
      <c r="I7" s="707"/>
      <c r="J7" s="707"/>
      <c r="K7" s="145"/>
      <c r="L7" s="223"/>
      <c r="N7" s="502"/>
      <c r="O7" s="503"/>
      <c r="P7" s="505"/>
      <c r="Q7" s="163"/>
    </row>
    <row r="8" spans="1:17" s="74" customFormat="1" ht="46.5" customHeight="1" x14ac:dyDescent="0.45">
      <c r="A8" s="133" t="s">
        <v>122</v>
      </c>
      <c r="B8" s="141" t="e">
        <f>#REF!</f>
        <v>#REF!</v>
      </c>
      <c r="C8" s="141" t="e">
        <f>#REF!</f>
        <v>#REF!</v>
      </c>
      <c r="D8" s="141" t="e">
        <f>#REF!</f>
        <v>#REF!</v>
      </c>
      <c r="E8" s="141" t="e">
        <f>#REF!</f>
        <v>#REF!</v>
      </c>
      <c r="F8" s="141" t="e">
        <f>#REF!</f>
        <v>#REF!</v>
      </c>
      <c r="G8" s="141" t="e">
        <f>#REF!</f>
        <v>#REF!</v>
      </c>
      <c r="H8" s="707"/>
      <c r="I8" s="707"/>
      <c r="J8" s="674"/>
      <c r="K8" s="674"/>
      <c r="L8" s="247"/>
      <c r="M8" s="242"/>
      <c r="N8" s="502"/>
      <c r="O8" s="503"/>
      <c r="P8" s="505"/>
      <c r="Q8" s="163"/>
    </row>
    <row r="9" spans="1:17" s="74" customFormat="1" ht="46.5" customHeight="1" x14ac:dyDescent="0.45">
      <c r="A9" s="133" t="s">
        <v>533</v>
      </c>
      <c r="B9" s="141"/>
      <c r="C9" s="141"/>
      <c r="D9" s="709" t="e">
        <f>#REF!</f>
        <v>#REF!</v>
      </c>
      <c r="E9" s="709" t="e">
        <f>#REF!</f>
        <v>#REF!</v>
      </c>
      <c r="F9" s="709" t="e">
        <f>#REF!</f>
        <v>#REF!</v>
      </c>
      <c r="G9" s="709" t="e">
        <f>#REF!</f>
        <v>#REF!</v>
      </c>
      <c r="H9" s="146"/>
      <c r="I9" s="146"/>
      <c r="J9" s="146"/>
      <c r="K9" s="146"/>
      <c r="L9" s="243"/>
      <c r="M9" s="708"/>
      <c r="N9" s="154"/>
      <c r="O9" s="239"/>
      <c r="Q9" s="163"/>
    </row>
    <row r="10" spans="1:17" s="74" customFormat="1" ht="23.25" x14ac:dyDescent="0.35">
      <c r="A10" s="133" t="s">
        <v>374</v>
      </c>
      <c r="B10" s="709" t="e">
        <f>#REF!</f>
        <v>#REF!</v>
      </c>
      <c r="C10" s="709" t="e">
        <f>#REF!</f>
        <v>#REF!</v>
      </c>
      <c r="D10" s="709" t="e">
        <f>#REF!</f>
        <v>#REF!</v>
      </c>
      <c r="E10" s="709" t="e">
        <f>#REF!</f>
        <v>#REF!</v>
      </c>
      <c r="F10" s="709"/>
      <c r="G10" s="709"/>
      <c r="K10" s="130"/>
      <c r="L10" s="223"/>
      <c r="N10" s="154"/>
      <c r="O10" s="135"/>
    </row>
    <row r="15" spans="1:17" s="190" customFormat="1" ht="42.75" customHeight="1" x14ac:dyDescent="0.2">
      <c r="A15" s="677"/>
      <c r="B15" s="1642" t="s">
        <v>378</v>
      </c>
      <c r="C15" s="1643"/>
      <c r="D15" s="1644"/>
      <c r="E15" s="1504" t="s">
        <v>707</v>
      </c>
      <c r="F15" s="1504"/>
      <c r="G15" s="1504"/>
      <c r="H15" s="1504"/>
      <c r="I15" s="1504"/>
      <c r="J15" s="1504"/>
      <c r="K15" s="1504"/>
      <c r="L15" s="1504"/>
      <c r="M15" s="1504"/>
      <c r="N15" s="1504"/>
    </row>
    <row r="16" spans="1:17" ht="81" x14ac:dyDescent="0.2">
      <c r="A16" s="155"/>
      <c r="B16" s="705">
        <v>2025</v>
      </c>
      <c r="C16" s="705">
        <v>2026</v>
      </c>
      <c r="D16" s="705">
        <v>2027</v>
      </c>
      <c r="E16" s="549" t="s">
        <v>274</v>
      </c>
      <c r="F16" s="549" t="s">
        <v>287</v>
      </c>
      <c r="G16" s="549" t="s">
        <v>288</v>
      </c>
      <c r="H16" s="549" t="s">
        <v>277</v>
      </c>
      <c r="I16" s="550" t="s">
        <v>290</v>
      </c>
      <c r="J16" s="549" t="s">
        <v>279</v>
      </c>
      <c r="K16" s="549" t="s">
        <v>692</v>
      </c>
      <c r="L16" s="549" t="s">
        <v>693</v>
      </c>
      <c r="M16" s="549" t="s">
        <v>714</v>
      </c>
      <c r="N16" s="549" t="s">
        <v>824</v>
      </c>
    </row>
    <row r="17" spans="1:14" ht="30.75" customHeight="1" x14ac:dyDescent="0.2">
      <c r="A17" s="155" t="s">
        <v>285</v>
      </c>
      <c r="B17" s="706" t="e">
        <f>#REF!</f>
        <v>#REF!</v>
      </c>
      <c r="C17" s="706" t="e">
        <f>#REF!</f>
        <v>#REF!</v>
      </c>
      <c r="D17" s="706" t="e">
        <f>#REF!</f>
        <v>#REF!</v>
      </c>
      <c r="E17" s="551" t="e">
        <f>#REF!</f>
        <v>#REF!</v>
      </c>
      <c r="F17" s="551" t="e">
        <f>#REF!</f>
        <v>#REF!</v>
      </c>
      <c r="G17" s="551" t="e">
        <f>#REF!</f>
        <v>#REF!</v>
      </c>
      <c r="H17" s="551" t="e">
        <f>#REF!</f>
        <v>#REF!</v>
      </c>
      <c r="I17" s="551" t="e">
        <f>#REF!</f>
        <v>#REF!</v>
      </c>
      <c r="J17" s="551" t="e">
        <f>#REF!</f>
        <v>#REF!</v>
      </c>
      <c r="K17" s="551" t="e">
        <f>#REF!</f>
        <v>#REF!</v>
      </c>
      <c r="L17" s="551" t="e">
        <f>#REF!</f>
        <v>#REF!</v>
      </c>
      <c r="M17" s="679" t="e">
        <f>#REF!</f>
        <v>#REF!</v>
      </c>
      <c r="N17" s="679" t="e">
        <f>#REF!</f>
        <v>#REF!</v>
      </c>
    </row>
    <row r="18" spans="1:14" ht="30.75" customHeight="1" x14ac:dyDescent="0.2">
      <c r="A18" s="155" t="s">
        <v>286</v>
      </c>
      <c r="B18" s="706" t="e">
        <f>#REF!</f>
        <v>#REF!</v>
      </c>
      <c r="C18" s="706" t="e">
        <f>#REF!</f>
        <v>#REF!</v>
      </c>
      <c r="D18" s="706" t="e">
        <f>#REF!</f>
        <v>#REF!</v>
      </c>
      <c r="E18" s="551" t="e">
        <f>#REF!</f>
        <v>#REF!</v>
      </c>
      <c r="F18" s="551" t="e">
        <f>#REF!</f>
        <v>#REF!</v>
      </c>
      <c r="G18" s="551" t="e">
        <f>#REF!</f>
        <v>#REF!</v>
      </c>
      <c r="H18" s="551" t="e">
        <f>#REF!</f>
        <v>#REF!</v>
      </c>
      <c r="I18" s="551" t="e">
        <f>#REF!</f>
        <v>#REF!</v>
      </c>
      <c r="J18" s="551" t="e">
        <f>#REF!</f>
        <v>#REF!</v>
      </c>
      <c r="K18" s="551" t="e">
        <f>#REF!</f>
        <v>#REF!</v>
      </c>
      <c r="L18" s="551" t="e">
        <f>#REF!</f>
        <v>#REF!</v>
      </c>
      <c r="M18" s="679" t="e">
        <f>#REF!</f>
        <v>#REF!</v>
      </c>
      <c r="N18" s="679" t="e">
        <f>#REF!</f>
        <v>#REF!</v>
      </c>
    </row>
    <row r="21" spans="1:14" x14ac:dyDescent="0.2">
      <c r="A21" s="1648" t="s">
        <v>359</v>
      </c>
      <c r="B21" s="1648" t="s">
        <v>538</v>
      </c>
    </row>
    <row r="22" spans="1:14" ht="33.75" customHeight="1" x14ac:dyDescent="0.2">
      <c r="A22" s="1649"/>
      <c r="B22" s="1649"/>
    </row>
    <row r="23" spans="1:14" ht="33.75" customHeight="1" x14ac:dyDescent="0.2">
      <c r="A23" s="1646" t="s">
        <v>365</v>
      </c>
      <c r="B23" s="1647"/>
    </row>
    <row r="24" spans="1:14" ht="33.75" customHeight="1" x14ac:dyDescent="0.2">
      <c r="A24" s="712" t="e">
        <f>#REF!</f>
        <v>#REF!</v>
      </c>
      <c r="B24" s="712" t="e">
        <f>#REF!</f>
        <v>#REF!</v>
      </c>
    </row>
    <row r="27" spans="1:14" ht="26.25" x14ac:dyDescent="0.25">
      <c r="A27" s="710"/>
      <c r="B27" s="729">
        <v>2025</v>
      </c>
      <c r="C27" s="206">
        <v>2026</v>
      </c>
      <c r="D27" s="206">
        <v>2027</v>
      </c>
    </row>
    <row r="28" spans="1:14" ht="57.75" customHeight="1" x14ac:dyDescent="0.4">
      <c r="A28" s="721" t="s">
        <v>712</v>
      </c>
      <c r="B28" s="714" t="e">
        <f>#REF!</f>
        <v>#REF!</v>
      </c>
      <c r="C28" s="713" t="e">
        <f>#REF!</f>
        <v>#REF!</v>
      </c>
      <c r="D28" s="713" t="e">
        <f>#REF!</f>
        <v>#REF!</v>
      </c>
    </row>
  </sheetData>
  <mergeCells count="6">
    <mergeCell ref="B15:D15"/>
    <mergeCell ref="A1:L1"/>
    <mergeCell ref="A23:B23"/>
    <mergeCell ref="A21:A22"/>
    <mergeCell ref="B21:B22"/>
    <mergeCell ref="E15:N15"/>
  </mergeCells>
  <pageMargins left="0.25" right="0.25" top="0.75" bottom="0.75" header="0.3" footer="0.3"/>
  <pageSetup paperSize="9" scale="48" fitToHeight="0" orientation="landscape" r:id="rId1"/>
  <headerFooter>
    <oddHeader>&amp;L&amp;D&amp;T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75"/>
  <sheetViews>
    <sheetView zoomScale="40" zoomScaleNormal="40" workbookViewId="0">
      <selection activeCell="J10" sqref="J10"/>
    </sheetView>
  </sheetViews>
  <sheetFormatPr defaultRowHeight="18.75" x14ac:dyDescent="0.3"/>
  <cols>
    <col min="1" max="1" width="56.28515625" style="79" customWidth="1"/>
    <col min="2" max="2" width="38" style="74" customWidth="1"/>
    <col min="3" max="3" width="27.42578125" style="74" customWidth="1"/>
    <col min="4" max="4" width="26.28515625" style="223" customWidth="1"/>
    <col min="5" max="5" width="27.42578125" style="74" customWidth="1"/>
    <col min="6" max="6" width="29.85546875" style="223" customWidth="1"/>
    <col min="7" max="8" width="38" style="74" customWidth="1"/>
    <col min="9" max="12" width="32" style="74" customWidth="1"/>
    <col min="13" max="13" width="31.5703125" style="74" customWidth="1"/>
    <col min="14" max="14" width="32" style="74" customWidth="1"/>
    <col min="15" max="16" width="32.42578125" style="74" customWidth="1"/>
  </cols>
  <sheetData>
    <row r="1" spans="1:16" ht="26.25" x14ac:dyDescent="0.4">
      <c r="A1" s="157"/>
      <c r="C1" s="154">
        <v>6</v>
      </c>
      <c r="E1" s="154">
        <v>7</v>
      </c>
      <c r="I1"/>
      <c r="J1"/>
      <c r="K1"/>
      <c r="L1"/>
      <c r="M1" s="281"/>
      <c r="N1" s="281"/>
      <c r="O1"/>
      <c r="P1"/>
    </row>
    <row r="2" spans="1:16" ht="20.25" x14ac:dyDescent="0.3">
      <c r="A2" s="74"/>
      <c r="I2" s="249"/>
      <c r="J2" s="249"/>
      <c r="K2" s="249"/>
      <c r="L2" s="249"/>
      <c r="M2" s="282"/>
      <c r="N2" s="282"/>
      <c r="O2" s="249"/>
      <c r="P2" s="249"/>
    </row>
    <row r="3" spans="1:16" ht="33" x14ac:dyDescent="0.45">
      <c r="A3" s="241"/>
      <c r="B3" s="239"/>
      <c r="C3" s="242"/>
      <c r="D3" s="247"/>
      <c r="E3" s="242"/>
      <c r="F3" s="247"/>
      <c r="G3" s="239"/>
      <c r="H3" s="239"/>
      <c r="I3" s="249"/>
      <c r="J3" s="249"/>
      <c r="K3" s="249"/>
      <c r="L3" s="249"/>
      <c r="M3" s="282"/>
      <c r="N3" s="282"/>
      <c r="O3" s="249"/>
      <c r="P3" s="249"/>
    </row>
    <row r="4" spans="1:16" ht="33" x14ac:dyDescent="0.45">
      <c r="A4" s="74"/>
      <c r="D4" s="243"/>
      <c r="F4" s="243"/>
      <c r="I4" s="250"/>
      <c r="J4" s="250"/>
      <c r="K4" s="250"/>
      <c r="L4" s="250"/>
      <c r="M4" s="283"/>
      <c r="N4" s="283"/>
      <c r="O4" s="250"/>
      <c r="P4" s="295">
        <v>1.2006187782107596</v>
      </c>
    </row>
    <row r="5" spans="1:16" ht="20.25" x14ac:dyDescent="0.3">
      <c r="I5" s="250"/>
      <c r="J5" s="250"/>
      <c r="K5" s="250"/>
      <c r="L5" s="250"/>
      <c r="O5" s="250"/>
      <c r="P5" s="250"/>
    </row>
    <row r="6" spans="1:16" ht="45" customHeight="1" x14ac:dyDescent="0.2">
      <c r="A6" s="1416" t="s">
        <v>83</v>
      </c>
      <c r="B6" s="1416" t="s">
        <v>84</v>
      </c>
      <c r="C6" s="1651" t="s">
        <v>452</v>
      </c>
      <c r="D6" s="1652"/>
      <c r="E6" s="1655" t="s">
        <v>453</v>
      </c>
      <c r="F6" s="1656"/>
      <c r="G6" s="1659" t="s">
        <v>456</v>
      </c>
      <c r="H6" s="1664" t="s">
        <v>457</v>
      </c>
      <c r="I6" s="1670" t="s">
        <v>454</v>
      </c>
      <c r="J6" s="1661" t="s">
        <v>455</v>
      </c>
      <c r="K6" s="1660" t="s">
        <v>456</v>
      </c>
      <c r="L6" s="1660" t="s">
        <v>457</v>
      </c>
      <c r="M6" s="1667" t="s">
        <v>427</v>
      </c>
      <c r="N6" s="1668"/>
      <c r="O6" s="1650" t="s">
        <v>459</v>
      </c>
      <c r="P6" s="1650" t="s">
        <v>460</v>
      </c>
    </row>
    <row r="7" spans="1:16" ht="15.75" customHeight="1" x14ac:dyDescent="0.2">
      <c r="A7" s="1416"/>
      <c r="B7" s="1416"/>
      <c r="C7" s="1653"/>
      <c r="D7" s="1654"/>
      <c r="E7" s="1657"/>
      <c r="F7" s="1658"/>
      <c r="G7" s="1659"/>
      <c r="H7" s="1665"/>
      <c r="I7" s="1671"/>
      <c r="J7" s="1662"/>
      <c r="K7" s="1660"/>
      <c r="L7" s="1660"/>
      <c r="M7" s="1669" t="s">
        <v>452</v>
      </c>
      <c r="N7" s="1669" t="s">
        <v>453</v>
      </c>
      <c r="O7" s="1650"/>
      <c r="P7" s="1650"/>
    </row>
    <row r="8" spans="1:16" ht="45" x14ac:dyDescent="0.2">
      <c r="A8" s="1416"/>
      <c r="B8" s="1416"/>
      <c r="C8" s="257" t="s">
        <v>372</v>
      </c>
      <c r="D8" s="258" t="s">
        <v>373</v>
      </c>
      <c r="E8" s="279" t="s">
        <v>372</v>
      </c>
      <c r="F8" s="280" t="s">
        <v>373</v>
      </c>
      <c r="G8" s="1659"/>
      <c r="H8" s="1666"/>
      <c r="I8" s="1672"/>
      <c r="J8" s="1663"/>
      <c r="K8" s="1660"/>
      <c r="L8" s="1660"/>
      <c r="M8" s="1420"/>
      <c r="N8" s="1420"/>
      <c r="O8" s="1650"/>
      <c r="P8" s="1650"/>
    </row>
    <row r="9" spans="1:16" ht="20.25" x14ac:dyDescent="0.2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>
        <v>16</v>
      </c>
    </row>
    <row r="10" spans="1:16" ht="60.75" x14ac:dyDescent="0.2">
      <c r="A10" s="251" t="s">
        <v>85</v>
      </c>
      <c r="B10" s="251" t="s">
        <v>5</v>
      </c>
      <c r="C10" s="259">
        <v>41805017.859999999</v>
      </c>
      <c r="D10" s="225">
        <v>0.28999999999999998</v>
      </c>
      <c r="E10" s="161" t="e">
        <f>#REF!</f>
        <v>#REF!</v>
      </c>
      <c r="F10" s="228" t="e">
        <f>#REF!</f>
        <v>#REF!</v>
      </c>
      <c r="G10" s="248" t="e">
        <f>E10/C10</f>
        <v>#REF!</v>
      </c>
      <c r="H10" s="248" t="e">
        <f>#REF!</f>
        <v>#REF!</v>
      </c>
      <c r="I10" s="210">
        <v>3657.2568000000006</v>
      </c>
      <c r="J10" s="162" t="e">
        <f>#REF!</f>
        <v>#REF!</v>
      </c>
      <c r="K10" s="275" t="e">
        <f>J10/I10</f>
        <v>#REF!</v>
      </c>
      <c r="L10" s="275" t="e">
        <f>#REF!</f>
        <v>#REF!</v>
      </c>
      <c r="M10" s="284">
        <v>184540890.19999999</v>
      </c>
      <c r="N10" s="284" t="e">
        <f>#REF!</f>
        <v>#REF!</v>
      </c>
      <c r="O10" s="294" t="e">
        <f>N10-M10</f>
        <v>#REF!</v>
      </c>
      <c r="P10" s="294" t="e">
        <f>N10-#REF!*'Для Председателя сравнение'!$P$4</f>
        <v>#REF!</v>
      </c>
    </row>
    <row r="11" spans="1:16" ht="60.75" x14ac:dyDescent="0.2">
      <c r="A11" s="251" t="s">
        <v>86</v>
      </c>
      <c r="B11" s="252" t="s">
        <v>125</v>
      </c>
      <c r="C11" s="208" t="s">
        <v>125</v>
      </c>
      <c r="D11" s="225" t="s">
        <v>125</v>
      </c>
      <c r="E11" s="161" t="e">
        <f>#REF!</f>
        <v>#REF!</v>
      </c>
      <c r="F11" s="228" t="e">
        <f>#REF!</f>
        <v>#REF!</v>
      </c>
      <c r="G11" s="224" t="e">
        <f>#REF!</f>
        <v>#REF!</v>
      </c>
      <c r="H11" s="248" t="e">
        <f>#REF!</f>
        <v>#REF!</v>
      </c>
      <c r="I11" s="208" t="s">
        <v>125</v>
      </c>
      <c r="J11" s="162" t="e">
        <f>#REF!</f>
        <v>#REF!</v>
      </c>
      <c r="K11" s="275" t="e">
        <f>#REF!</f>
        <v>#REF!</v>
      </c>
      <c r="L11" s="275" t="e">
        <f>#REF!</f>
        <v>#REF!</v>
      </c>
      <c r="M11" s="285" t="e">
        <f>#REF!</f>
        <v>#REF!</v>
      </c>
      <c r="N11" s="285" t="e">
        <f>#REF!</f>
        <v>#REF!</v>
      </c>
      <c r="O11" s="294" t="s">
        <v>125</v>
      </c>
      <c r="P11" s="294" t="s">
        <v>125</v>
      </c>
    </row>
    <row r="12" spans="1:16" ht="40.5" x14ac:dyDescent="0.2">
      <c r="A12" s="251" t="s">
        <v>88</v>
      </c>
      <c r="B12" s="251" t="s">
        <v>87</v>
      </c>
      <c r="C12" s="259">
        <v>781711019.87750196</v>
      </c>
      <c r="D12" s="225">
        <v>5.4227030000000003</v>
      </c>
      <c r="E12" s="161" t="e">
        <f>#REF!</f>
        <v>#REF!</v>
      </c>
      <c r="F12" s="228" t="e">
        <f>#REF!</f>
        <v>#REF!</v>
      </c>
      <c r="G12" s="248" t="e">
        <f t="shared" ref="G12:G72" si="0">E12/C12</f>
        <v>#REF!</v>
      </c>
      <c r="H12" s="248" t="e">
        <f>#REF!</f>
        <v>#REF!</v>
      </c>
      <c r="I12" s="210">
        <v>1284.0999999999999</v>
      </c>
      <c r="J12" s="162" t="e">
        <f>#REF!</f>
        <v>#REF!</v>
      </c>
      <c r="K12" s="275" t="e">
        <f t="shared" ref="K12:K72" si="1">J12/I12</f>
        <v>#REF!</v>
      </c>
      <c r="L12" s="275" t="e">
        <f>#REF!</f>
        <v>#REF!</v>
      </c>
      <c r="M12" s="284">
        <v>1211598161.8</v>
      </c>
      <c r="N12" s="284" t="e">
        <f>#REF!</f>
        <v>#REF!</v>
      </c>
      <c r="O12" s="294" t="e">
        <f t="shared" ref="O12:O72" si="2">N12-M12</f>
        <v>#REF!</v>
      </c>
      <c r="P12" s="294" t="e">
        <f>N12-#REF!*'Для Председателя сравнение'!$P$4</f>
        <v>#REF!</v>
      </c>
    </row>
    <row r="13" spans="1:16" ht="60.75" x14ac:dyDescent="0.2">
      <c r="A13" s="251" t="s">
        <v>430</v>
      </c>
      <c r="B13" s="251" t="s">
        <v>15</v>
      </c>
      <c r="C13" s="259">
        <v>44891669.730408005</v>
      </c>
      <c r="D13" s="225">
        <v>0.31141200000000002</v>
      </c>
      <c r="E13" s="161" t="e">
        <f>#REF!</f>
        <v>#REF!</v>
      </c>
      <c r="F13" s="228" t="e">
        <f>#REF!</f>
        <v>#REF!</v>
      </c>
      <c r="G13" s="248" t="e">
        <f t="shared" si="0"/>
        <v>#REF!</v>
      </c>
      <c r="H13" s="248" t="e">
        <f>#REF!</f>
        <v>#REF!</v>
      </c>
      <c r="I13" s="210">
        <v>2228</v>
      </c>
      <c r="J13" s="162" t="e">
        <f>#REF!</f>
        <v>#REF!</v>
      </c>
      <c r="K13" s="275" t="e">
        <f t="shared" si="1"/>
        <v>#REF!</v>
      </c>
      <c r="L13" s="275" t="e">
        <f>#REF!</f>
        <v>#REF!</v>
      </c>
      <c r="M13" s="284">
        <v>120722907.90000001</v>
      </c>
      <c r="N13" s="284" t="e">
        <f>#REF!</f>
        <v>#REF!</v>
      </c>
      <c r="O13" s="294" t="e">
        <f t="shared" si="2"/>
        <v>#REF!</v>
      </c>
      <c r="P13" s="294" t="e">
        <f>N13-#REF!*'Для Председателя сравнение'!$P$4</f>
        <v>#REF!</v>
      </c>
    </row>
    <row r="14" spans="1:16" ht="60.75" x14ac:dyDescent="0.2">
      <c r="A14" s="251" t="s">
        <v>89</v>
      </c>
      <c r="B14" s="251" t="s">
        <v>15</v>
      </c>
      <c r="C14" s="259">
        <v>56017426.535294004</v>
      </c>
      <c r="D14" s="225">
        <v>0.38859100000000002</v>
      </c>
      <c r="E14" s="161" t="e">
        <f>#REF!</f>
        <v>#REF!</v>
      </c>
      <c r="F14" s="228" t="e">
        <f>#REF!</f>
        <v>#REF!</v>
      </c>
      <c r="G14" s="248" t="e">
        <f t="shared" si="0"/>
        <v>#REF!</v>
      </c>
      <c r="H14" s="248" t="e">
        <f>#REF!</f>
        <v>#REF!</v>
      </c>
      <c r="I14" s="210">
        <v>2722.9</v>
      </c>
      <c r="J14" s="162" t="e">
        <f>#REF!</f>
        <v>#REF!</v>
      </c>
      <c r="K14" s="275" t="e">
        <f t="shared" si="1"/>
        <v>#REF!</v>
      </c>
      <c r="L14" s="275" t="e">
        <f>#REF!</f>
        <v>#REF!</v>
      </c>
      <c r="M14" s="284">
        <v>184104153.80000001</v>
      </c>
      <c r="N14" s="284" t="e">
        <f>#REF!</f>
        <v>#REF!</v>
      </c>
      <c r="O14" s="294" t="e">
        <f t="shared" si="2"/>
        <v>#REF!</v>
      </c>
      <c r="P14" s="294" t="e">
        <f>N14-#REF!*'Для Председателя сравнение'!$P$4</f>
        <v>#REF!</v>
      </c>
    </row>
    <row r="15" spans="1:16" ht="40.5" x14ac:dyDescent="0.2">
      <c r="A15" s="217" t="s">
        <v>443</v>
      </c>
      <c r="B15" s="217" t="s">
        <v>15</v>
      </c>
      <c r="C15" s="260">
        <v>7317031.3673719997</v>
      </c>
      <c r="D15" s="261">
        <v>5.0757999999999998E-2</v>
      </c>
      <c r="E15" s="161" t="e">
        <f>#REF!</f>
        <v>#REF!</v>
      </c>
      <c r="F15" s="228" t="e">
        <f>#REF!</f>
        <v>#REF!</v>
      </c>
      <c r="G15" s="248" t="e">
        <f t="shared" si="0"/>
        <v>#REF!</v>
      </c>
      <c r="H15" s="248" t="e">
        <f>#REF!</f>
        <v>#REF!</v>
      </c>
      <c r="I15" s="271">
        <v>1177.4000000000001</v>
      </c>
      <c r="J15" s="162" t="e">
        <f>#REF!</f>
        <v>#REF!</v>
      </c>
      <c r="K15" s="275" t="e">
        <f t="shared" si="1"/>
        <v>#REF!</v>
      </c>
      <c r="L15" s="275" t="e">
        <f>#REF!</f>
        <v>#REF!</v>
      </c>
      <c r="M15" s="286">
        <v>10398428</v>
      </c>
      <c r="N15" s="284" t="e">
        <f>#REF!</f>
        <v>#REF!</v>
      </c>
      <c r="O15" s="294" t="e">
        <f t="shared" si="2"/>
        <v>#REF!</v>
      </c>
      <c r="P15" s="294" t="s">
        <v>458</v>
      </c>
    </row>
    <row r="16" spans="1:16" ht="20.25" x14ac:dyDescent="0.2">
      <c r="A16" s="251" t="s">
        <v>91</v>
      </c>
      <c r="B16" s="251" t="s">
        <v>11</v>
      </c>
      <c r="C16" s="259">
        <v>307521171.10377598</v>
      </c>
      <c r="D16" s="229">
        <v>2.133264</v>
      </c>
      <c r="E16" s="161" t="e">
        <f>#REF!</f>
        <v>#REF!</v>
      </c>
      <c r="F16" s="228" t="e">
        <f>#REF!</f>
        <v>#REF!</v>
      </c>
      <c r="G16" s="248" t="e">
        <f t="shared" si="0"/>
        <v>#REF!</v>
      </c>
      <c r="H16" s="248" t="e">
        <f>#REF!</f>
        <v>#REF!</v>
      </c>
      <c r="I16" s="210">
        <v>385.8</v>
      </c>
      <c r="J16" s="162" t="e">
        <f>#REF!</f>
        <v>#REF!</v>
      </c>
      <c r="K16" s="275" t="e">
        <f t="shared" si="1"/>
        <v>#REF!</v>
      </c>
      <c r="L16" s="275" t="e">
        <f>#REF!</f>
        <v>#REF!</v>
      </c>
      <c r="M16" s="284">
        <v>143200978.40000001</v>
      </c>
      <c r="N16" s="284" t="e">
        <f>#REF!</f>
        <v>#REF!</v>
      </c>
      <c r="O16" s="294" t="e">
        <f t="shared" si="2"/>
        <v>#REF!</v>
      </c>
      <c r="P16" s="294" t="e">
        <f>N16-#REF!*'Для Председателя сравнение'!$P$4</f>
        <v>#REF!</v>
      </c>
    </row>
    <row r="17" spans="1:16" ht="40.5" x14ac:dyDescent="0.2">
      <c r="A17" s="251" t="s">
        <v>92</v>
      </c>
      <c r="B17" s="251" t="s">
        <v>11</v>
      </c>
      <c r="C17" s="259">
        <v>77843826.359999999</v>
      </c>
      <c r="D17" s="229">
        <v>0.54</v>
      </c>
      <c r="E17" s="161" t="e">
        <f>#REF!</f>
        <v>#REF!</v>
      </c>
      <c r="F17" s="228" t="e">
        <f>#REF!</f>
        <v>#REF!</v>
      </c>
      <c r="G17" s="248" t="e">
        <f t="shared" si="0"/>
        <v>#REF!</v>
      </c>
      <c r="H17" s="248" t="e">
        <f>#REF!</f>
        <v>#REF!</v>
      </c>
      <c r="I17" s="210">
        <v>836.3</v>
      </c>
      <c r="J17" s="162" t="e">
        <f>#REF!</f>
        <v>#REF!</v>
      </c>
      <c r="K17" s="275" t="e">
        <f t="shared" si="1"/>
        <v>#REF!</v>
      </c>
      <c r="L17" s="275" t="e">
        <f>#REF!</f>
        <v>#REF!</v>
      </c>
      <c r="M17" s="284">
        <v>78576922.299999997</v>
      </c>
      <c r="N17" s="284" t="e">
        <f>#REF!</f>
        <v>#REF!</v>
      </c>
      <c r="O17" s="294" t="e">
        <f t="shared" si="2"/>
        <v>#REF!</v>
      </c>
      <c r="P17" s="294" t="e">
        <f>N17-#REF!*'Для Председателя сравнение'!$P$4</f>
        <v>#REF!</v>
      </c>
    </row>
    <row r="18" spans="1:16" ht="40.5" x14ac:dyDescent="0.2">
      <c r="A18" s="251" t="s">
        <v>93</v>
      </c>
      <c r="B18" s="251" t="s">
        <v>94</v>
      </c>
      <c r="C18" s="259">
        <v>257706311.82180002</v>
      </c>
      <c r="D18" s="229">
        <v>1.7877000000000001</v>
      </c>
      <c r="E18" s="161" t="e">
        <f>#REF!</f>
        <v>#REF!</v>
      </c>
      <c r="F18" s="228" t="e">
        <f>#REF!</f>
        <v>#REF!</v>
      </c>
      <c r="G18" s="248" t="e">
        <f t="shared" si="0"/>
        <v>#REF!</v>
      </c>
      <c r="H18" s="248" t="e">
        <f>#REF!</f>
        <v>#REF!</v>
      </c>
      <c r="I18" s="210">
        <v>1875.7</v>
      </c>
      <c r="J18" s="162" t="e">
        <f>#REF!</f>
        <v>#REF!</v>
      </c>
      <c r="K18" s="275" t="e">
        <f t="shared" si="1"/>
        <v>#REF!</v>
      </c>
      <c r="L18" s="275" t="e">
        <f>#REF!</f>
        <v>#REF!</v>
      </c>
      <c r="M18" s="284">
        <v>583441310.5</v>
      </c>
      <c r="N18" s="284" t="e">
        <f>#REF!</f>
        <v>#REF!</v>
      </c>
      <c r="O18" s="294" t="e">
        <f t="shared" si="2"/>
        <v>#REF!</v>
      </c>
      <c r="P18" s="294" t="e">
        <f>N18-#REF!*'Для Председателя сравнение'!$P$4</f>
        <v>#REF!</v>
      </c>
    </row>
    <row r="19" spans="1:16" ht="60.75" x14ac:dyDescent="0.2">
      <c r="A19" s="147" t="s">
        <v>95</v>
      </c>
      <c r="B19" s="147" t="s">
        <v>23</v>
      </c>
      <c r="C19" s="131"/>
      <c r="D19" s="226"/>
      <c r="E19" s="161"/>
      <c r="F19" s="228"/>
      <c r="G19" s="248"/>
      <c r="H19" s="248"/>
      <c r="I19" s="131"/>
      <c r="J19" s="162"/>
      <c r="K19" s="275"/>
      <c r="L19" s="275"/>
      <c r="M19" s="287"/>
      <c r="N19" s="284"/>
      <c r="O19" s="294"/>
      <c r="P19" s="294"/>
    </row>
    <row r="20" spans="1:16" ht="20.25" x14ac:dyDescent="0.2">
      <c r="A20" s="147" t="s">
        <v>96</v>
      </c>
      <c r="B20" s="147" t="s">
        <v>23</v>
      </c>
      <c r="C20" s="234">
        <v>7274793.8838100005</v>
      </c>
      <c r="D20" s="226">
        <v>5.0465000000000003E-2</v>
      </c>
      <c r="E20" s="161" t="e">
        <f>#REF!</f>
        <v>#REF!</v>
      </c>
      <c r="F20" s="228" t="e">
        <f>#REF!</f>
        <v>#REF!</v>
      </c>
      <c r="G20" s="248" t="e">
        <f t="shared" si="0"/>
        <v>#REF!</v>
      </c>
      <c r="H20" s="248" t="e">
        <f>#REF!</f>
        <v>#REF!</v>
      </c>
      <c r="I20" s="272">
        <v>2923.7</v>
      </c>
      <c r="J20" s="162" t="e">
        <f>#REF!</f>
        <v>#REF!</v>
      </c>
      <c r="K20" s="275" t="e">
        <f t="shared" si="1"/>
        <v>#REF!</v>
      </c>
      <c r="L20" s="275" t="e">
        <f>#REF!</f>
        <v>#REF!</v>
      </c>
      <c r="M20" s="288">
        <v>25672150.100000001</v>
      </c>
      <c r="N20" s="284" t="e">
        <f>#REF!</f>
        <v>#REF!</v>
      </c>
      <c r="O20" s="294" t="e">
        <f t="shared" si="2"/>
        <v>#REF!</v>
      </c>
      <c r="P20" s="294" t="e">
        <f>N20-#REF!*'Для Председателя сравнение'!$P$4</f>
        <v>#REF!</v>
      </c>
    </row>
    <row r="21" spans="1:16" ht="40.5" x14ac:dyDescent="0.2">
      <c r="A21" s="147" t="s">
        <v>97</v>
      </c>
      <c r="B21" s="147" t="s">
        <v>23</v>
      </c>
      <c r="C21" s="234">
        <v>2620597.9988859999</v>
      </c>
      <c r="D21" s="226">
        <v>1.8179000000000001E-2</v>
      </c>
      <c r="E21" s="161" t="e">
        <f>#REF!</f>
        <v>#REF!</v>
      </c>
      <c r="F21" s="228" t="e">
        <f>#REF!</f>
        <v>#REF!</v>
      </c>
      <c r="G21" s="248" t="e">
        <f t="shared" si="0"/>
        <v>#REF!</v>
      </c>
      <c r="H21" s="248" t="e">
        <f>#REF!</f>
        <v>#REF!</v>
      </c>
      <c r="I21" s="272">
        <v>3992.2</v>
      </c>
      <c r="J21" s="162" t="e">
        <f>#REF!</f>
        <v>#REF!</v>
      </c>
      <c r="K21" s="275" t="e">
        <f t="shared" si="1"/>
        <v>#REF!</v>
      </c>
      <c r="L21" s="275" t="e">
        <f>#REF!</f>
        <v>#REF!</v>
      </c>
      <c r="M21" s="288">
        <v>12627618</v>
      </c>
      <c r="N21" s="284" t="e">
        <f>#REF!</f>
        <v>#REF!</v>
      </c>
      <c r="O21" s="294" t="e">
        <f t="shared" si="2"/>
        <v>#REF!</v>
      </c>
      <c r="P21" s="294" t="e">
        <f>N21-#REF!*'Для Председателя сравнение'!$P$4</f>
        <v>#REF!</v>
      </c>
    </row>
    <row r="22" spans="1:16" ht="40.5" x14ac:dyDescent="0.2">
      <c r="A22" s="147" t="s">
        <v>98</v>
      </c>
      <c r="B22" s="147" t="s">
        <v>23</v>
      </c>
      <c r="C22" s="234">
        <v>13678890.15426</v>
      </c>
      <c r="D22" s="226">
        <v>9.4890000000000002E-2</v>
      </c>
      <c r="E22" s="161" t="e">
        <f>#REF!</f>
        <v>#REF!</v>
      </c>
      <c r="F22" s="228" t="e">
        <f>#REF!</f>
        <v>#REF!</v>
      </c>
      <c r="G22" s="248" t="e">
        <f t="shared" si="0"/>
        <v>#REF!</v>
      </c>
      <c r="H22" s="248" t="e">
        <f>#REF!</f>
        <v>#REF!</v>
      </c>
      <c r="I22" s="272">
        <v>590.4</v>
      </c>
      <c r="J22" s="162" t="e">
        <f>#REF!</f>
        <v>#REF!</v>
      </c>
      <c r="K22" s="275" t="e">
        <f t="shared" si="1"/>
        <v>#REF!</v>
      </c>
      <c r="L22" s="275" t="e">
        <f>#REF!</f>
        <v>#REF!</v>
      </c>
      <c r="M22" s="288">
        <v>9747785.1999999993</v>
      </c>
      <c r="N22" s="284" t="e">
        <f>#REF!</f>
        <v>#REF!</v>
      </c>
      <c r="O22" s="294" t="e">
        <f t="shared" si="2"/>
        <v>#REF!</v>
      </c>
      <c r="P22" s="294" t="e">
        <f>N22-#REF!*'Для Председателя сравнение'!$P$4</f>
        <v>#REF!</v>
      </c>
    </row>
    <row r="23" spans="1:16" ht="40.5" x14ac:dyDescent="0.2">
      <c r="A23" s="147" t="s">
        <v>99</v>
      </c>
      <c r="B23" s="147" t="s">
        <v>23</v>
      </c>
      <c r="C23" s="234">
        <v>4456991.5248119999</v>
      </c>
      <c r="D23" s="226">
        <v>3.0918000000000001E-2</v>
      </c>
      <c r="E23" s="161" t="e">
        <f>#REF!</f>
        <v>#REF!</v>
      </c>
      <c r="F23" s="228" t="e">
        <f>#REF!</f>
        <v>#REF!</v>
      </c>
      <c r="G23" s="248" t="e">
        <f t="shared" si="0"/>
        <v>#REF!</v>
      </c>
      <c r="H23" s="248" t="e">
        <f>#REF!</f>
        <v>#REF!</v>
      </c>
      <c r="I23" s="272">
        <v>1082.5999999999999</v>
      </c>
      <c r="J23" s="162" t="e">
        <f>#REF!</f>
        <v>#REF!</v>
      </c>
      <c r="K23" s="275" t="e">
        <f t="shared" si="1"/>
        <v>#REF!</v>
      </c>
      <c r="L23" s="275" t="e">
        <f>#REF!</f>
        <v>#REF!</v>
      </c>
      <c r="M23" s="288">
        <v>5823962.5</v>
      </c>
      <c r="N23" s="284" t="e">
        <f>#REF!</f>
        <v>#REF!</v>
      </c>
      <c r="O23" s="294" t="e">
        <f t="shared" si="2"/>
        <v>#REF!</v>
      </c>
      <c r="P23" s="294" t="e">
        <f>N23-#REF!*'Для Председателя сравнение'!$P$4</f>
        <v>#REF!</v>
      </c>
    </row>
    <row r="24" spans="1:16" ht="60.75" x14ac:dyDescent="0.2">
      <c r="A24" s="147" t="s">
        <v>100</v>
      </c>
      <c r="B24" s="147" t="s">
        <v>23</v>
      </c>
      <c r="C24" s="234">
        <v>161453.86207999999</v>
      </c>
      <c r="D24" s="226">
        <v>1.1199999999999999E-3</v>
      </c>
      <c r="E24" s="161" t="e">
        <f>#REF!</f>
        <v>#REF!</v>
      </c>
      <c r="F24" s="228" t="e">
        <f>#REF!</f>
        <v>#REF!</v>
      </c>
      <c r="G24" s="248" t="e">
        <f t="shared" si="0"/>
        <v>#REF!</v>
      </c>
      <c r="H24" s="248" t="e">
        <f>#REF!</f>
        <v>#REF!</v>
      </c>
      <c r="I24" s="272">
        <v>9091.4</v>
      </c>
      <c r="J24" s="162" t="e">
        <f>#REF!</f>
        <v>#REF!</v>
      </c>
      <c r="K24" s="275" t="e">
        <f t="shared" si="1"/>
        <v>#REF!</v>
      </c>
      <c r="L24" s="275" t="e">
        <f>#REF!</f>
        <v>#REF!</v>
      </c>
      <c r="M24" s="288">
        <v>1771690.8</v>
      </c>
      <c r="N24" s="284" t="e">
        <f>#REF!</f>
        <v>#REF!</v>
      </c>
      <c r="O24" s="294" t="e">
        <f t="shared" si="2"/>
        <v>#REF!</v>
      </c>
      <c r="P24" s="294" t="e">
        <f>N24-#REF!*'Для Председателя сравнение'!$P$4</f>
        <v>#REF!</v>
      </c>
    </row>
    <row r="25" spans="1:16" ht="141.75" x14ac:dyDescent="0.2">
      <c r="A25" s="147" t="s">
        <v>101</v>
      </c>
      <c r="B25" s="147" t="s">
        <v>23</v>
      </c>
      <c r="C25" s="234">
        <v>2190006.3149279999</v>
      </c>
      <c r="D25" s="226">
        <v>1.5192000000000001E-2</v>
      </c>
      <c r="E25" s="161" t="e">
        <f>#REF!</f>
        <v>#REF!</v>
      </c>
      <c r="F25" s="228" t="e">
        <f>#REF!</f>
        <v>#REF!</v>
      </c>
      <c r="G25" s="248" t="e">
        <f t="shared" si="0"/>
        <v>#REF!</v>
      </c>
      <c r="H25" s="248" t="e">
        <f>#REF!</f>
        <v>#REF!</v>
      </c>
      <c r="I25" s="272">
        <v>2242.1</v>
      </c>
      <c r="J25" s="162" t="e">
        <f>#REF!</f>
        <v>#REF!</v>
      </c>
      <c r="K25" s="275" t="e">
        <f t="shared" si="1"/>
        <v>#REF!</v>
      </c>
      <c r="L25" s="275" t="e">
        <f>#REF!</f>
        <v>#REF!</v>
      </c>
      <c r="M25" s="288">
        <v>5926647.4000000004</v>
      </c>
      <c r="N25" s="284" t="e">
        <f>#REF!</f>
        <v>#REF!</v>
      </c>
      <c r="O25" s="294" t="e">
        <f t="shared" si="2"/>
        <v>#REF!</v>
      </c>
      <c r="P25" s="294" t="e">
        <f>N25-#REF!*'Для Председателя сравнение'!$P$4</f>
        <v>#REF!</v>
      </c>
    </row>
    <row r="26" spans="1:16" ht="60.75" x14ac:dyDescent="0.2">
      <c r="A26" s="217" t="s">
        <v>102</v>
      </c>
      <c r="B26" s="147" t="s">
        <v>23</v>
      </c>
      <c r="C26" s="234">
        <v>14816130.795286</v>
      </c>
      <c r="D26" s="226">
        <v>0.102779</v>
      </c>
      <c r="E26" s="161" t="e">
        <f>#REF!</f>
        <v>#REF!</v>
      </c>
      <c r="F26" s="228" t="e">
        <f>#REF!</f>
        <v>#REF!</v>
      </c>
      <c r="G26" s="248" t="e">
        <f t="shared" si="0"/>
        <v>#REF!</v>
      </c>
      <c r="H26" s="248" t="e">
        <f>#REF!</f>
        <v>#REF!</v>
      </c>
      <c r="I26" s="272">
        <v>434</v>
      </c>
      <c r="J26" s="162" t="e">
        <f>#REF!</f>
        <v>#REF!</v>
      </c>
      <c r="K26" s="275" t="e">
        <f t="shared" si="1"/>
        <v>#REF!</v>
      </c>
      <c r="L26" s="275" t="e">
        <f>#REF!</f>
        <v>#REF!</v>
      </c>
      <c r="M26" s="288">
        <v>7761278.7000000002</v>
      </c>
      <c r="N26" s="284" t="e">
        <f>#REF!</f>
        <v>#REF!</v>
      </c>
      <c r="O26" s="294" t="e">
        <f t="shared" si="2"/>
        <v>#REF!</v>
      </c>
      <c r="P26" s="294" t="e">
        <f>N26-#REF!*'Для Председателя сравнение'!$P$4</f>
        <v>#REF!</v>
      </c>
    </row>
    <row r="27" spans="1:16" ht="40.5" x14ac:dyDescent="0.2">
      <c r="A27" s="253" t="s">
        <v>444</v>
      </c>
      <c r="B27" s="251" t="s">
        <v>15</v>
      </c>
      <c r="C27" s="262">
        <v>37730614.326224007</v>
      </c>
      <c r="D27" s="229">
        <v>0.26173600000000002</v>
      </c>
      <c r="E27" s="161" t="e">
        <f>#REF!</f>
        <v>#REF!</v>
      </c>
      <c r="F27" s="228" t="e">
        <f>#REF!</f>
        <v>#REF!</v>
      </c>
      <c r="G27" s="248" t="e">
        <f t="shared" si="0"/>
        <v>#REF!</v>
      </c>
      <c r="H27" s="248" t="e">
        <f>#REF!</f>
        <v>#REF!</v>
      </c>
      <c r="I27" s="222">
        <v>2229.9</v>
      </c>
      <c r="J27" s="162" t="e">
        <f>#REF!</f>
        <v>#REF!</v>
      </c>
      <c r="K27" s="275" t="e">
        <f t="shared" si="1"/>
        <v>#REF!</v>
      </c>
      <c r="L27" s="275" t="e">
        <f>#REF!</f>
        <v>#REF!</v>
      </c>
      <c r="M27" s="286">
        <v>101551888.90000001</v>
      </c>
      <c r="N27" s="284" t="e">
        <f>#REF!</f>
        <v>#REF!</v>
      </c>
      <c r="O27" s="294" t="e">
        <f t="shared" si="2"/>
        <v>#REF!</v>
      </c>
      <c r="P27" s="294" t="e">
        <f>N27-#REF!*'Для Председателя сравнение'!$P$4</f>
        <v>#REF!</v>
      </c>
    </row>
    <row r="28" spans="1:16" ht="20.25" x14ac:dyDescent="0.2">
      <c r="A28" s="217" t="s">
        <v>445</v>
      </c>
      <c r="B28" s="147" t="s">
        <v>15</v>
      </c>
      <c r="C28" s="260">
        <v>6494642.9466985362</v>
      </c>
      <c r="D28" s="261">
        <v>4.505E-2</v>
      </c>
      <c r="E28" s="161" t="e">
        <f>#REF!</f>
        <v>#REF!</v>
      </c>
      <c r="F28" s="228" t="e">
        <f>#REF!</f>
        <v>#REF!</v>
      </c>
      <c r="G28" s="248" t="e">
        <f t="shared" si="0"/>
        <v>#REF!</v>
      </c>
      <c r="H28" s="248" t="e">
        <f>#REF!</f>
        <v>#REF!</v>
      </c>
      <c r="I28" s="271">
        <v>3142.3</v>
      </c>
      <c r="J28" s="162" t="e">
        <f>#REF!</f>
        <v>#REF!</v>
      </c>
      <c r="K28" s="275" t="e">
        <f t="shared" si="1"/>
        <v>#REF!</v>
      </c>
      <c r="L28" s="275" t="e">
        <f>#REF!</f>
        <v>#REF!</v>
      </c>
      <c r="M28" s="289">
        <v>24630974.800000001</v>
      </c>
      <c r="N28" s="284" t="e">
        <f>#REF!</f>
        <v>#REF!</v>
      </c>
      <c r="O28" s="294" t="e">
        <f t="shared" si="2"/>
        <v>#REF!</v>
      </c>
      <c r="P28" s="294" t="e">
        <f>N28-#REF!*'Для Председателя сравнение'!$P$4</f>
        <v>#REF!</v>
      </c>
    </row>
    <row r="29" spans="1:16" ht="20.25" x14ac:dyDescent="0.2">
      <c r="A29" s="217" t="s">
        <v>446</v>
      </c>
      <c r="B29" s="147" t="s">
        <v>15</v>
      </c>
      <c r="C29" s="260">
        <v>8620634.4371466376</v>
      </c>
      <c r="D29" s="261">
        <v>5.9799999999999999E-2</v>
      </c>
      <c r="E29" s="161" t="e">
        <f>#REF!</f>
        <v>#REF!</v>
      </c>
      <c r="F29" s="228" t="e">
        <f>#REF!</f>
        <v>#REF!</v>
      </c>
      <c r="G29" s="248" t="e">
        <f t="shared" si="0"/>
        <v>#REF!</v>
      </c>
      <c r="H29" s="248" t="e">
        <f>#REF!</f>
        <v>#REF!</v>
      </c>
      <c r="I29" s="271">
        <v>1186.4000000000001</v>
      </c>
      <c r="J29" s="162" t="e">
        <f>#REF!</f>
        <v>#REF!</v>
      </c>
      <c r="K29" s="275" t="e">
        <f t="shared" si="1"/>
        <v>#REF!</v>
      </c>
      <c r="L29" s="275" t="e">
        <f>#REF!</f>
        <v>#REF!</v>
      </c>
      <c r="M29" s="286">
        <v>12344442.4</v>
      </c>
      <c r="N29" s="284" t="e">
        <f>#REF!</f>
        <v>#REF!</v>
      </c>
      <c r="O29" s="294" t="e">
        <f t="shared" si="2"/>
        <v>#REF!</v>
      </c>
      <c r="P29" s="294" t="e">
        <f>N29-#REF!*'Для Председателя сравнение'!$P$4</f>
        <v>#REF!</v>
      </c>
    </row>
    <row r="30" spans="1:16" ht="40.5" x14ac:dyDescent="0.2">
      <c r="A30" s="217" t="s">
        <v>447</v>
      </c>
      <c r="B30" s="147" t="s">
        <v>15</v>
      </c>
      <c r="C30" s="260">
        <v>18049432.928257409</v>
      </c>
      <c r="D30" s="261">
        <v>0.12520999999999999</v>
      </c>
      <c r="E30" s="161" t="e">
        <f>#REF!</f>
        <v>#REF!</v>
      </c>
      <c r="F30" s="228" t="e">
        <f>#REF!</f>
        <v>#REF!</v>
      </c>
      <c r="G30" s="248" t="e">
        <f t="shared" si="0"/>
        <v>#REF!</v>
      </c>
      <c r="H30" s="248" t="e">
        <f>#REF!</f>
        <v>#REF!</v>
      </c>
      <c r="I30" s="271">
        <v>2638.1</v>
      </c>
      <c r="J30" s="162" t="e">
        <f>#REF!</f>
        <v>#REF!</v>
      </c>
      <c r="K30" s="275" t="e">
        <f t="shared" si="1"/>
        <v>#REF!</v>
      </c>
      <c r="L30" s="275" t="e">
        <f>#REF!</f>
        <v>#REF!</v>
      </c>
      <c r="M30" s="286">
        <v>57473735.799999997</v>
      </c>
      <c r="N30" s="284" t="e">
        <f>#REF!</f>
        <v>#REF!</v>
      </c>
      <c r="O30" s="294" t="e">
        <f t="shared" si="2"/>
        <v>#REF!</v>
      </c>
      <c r="P30" s="294" t="e">
        <f>N30-#REF!*'Для Председателя сравнение'!$P$4</f>
        <v>#REF!</v>
      </c>
    </row>
    <row r="31" spans="1:16" ht="121.5" x14ac:dyDescent="0.2">
      <c r="A31" s="296" t="s">
        <v>104</v>
      </c>
      <c r="B31" s="297" t="s">
        <v>39</v>
      </c>
      <c r="C31" s="298">
        <v>11330574.916616</v>
      </c>
      <c r="D31" s="299">
        <v>7.8599740620128991E-2</v>
      </c>
      <c r="E31" s="298" t="e">
        <f>#REF!</f>
        <v>#REF!</v>
      </c>
      <c r="F31" s="299" t="e">
        <f>#REF!</f>
        <v>#REF!</v>
      </c>
      <c r="G31" s="300" t="e">
        <f t="shared" si="0"/>
        <v>#REF!</v>
      </c>
      <c r="H31" s="300" t="e">
        <f>#REF!</f>
        <v>#REF!</v>
      </c>
      <c r="I31" s="301">
        <v>28051.812875033669</v>
      </c>
      <c r="J31" s="301" t="e">
        <f>#REF!</f>
        <v>#REF!</v>
      </c>
      <c r="K31" s="300" t="e">
        <f t="shared" si="1"/>
        <v>#REF!</v>
      </c>
      <c r="L31" s="300" t="e">
        <f>#REF!</f>
        <v>#REF!</v>
      </c>
      <c r="M31" s="302">
        <v>383438704.5</v>
      </c>
      <c r="N31" s="301" t="e">
        <f>#REF!</f>
        <v>#REF!</v>
      </c>
      <c r="O31" s="301" t="e">
        <f t="shared" si="2"/>
        <v>#REF!</v>
      </c>
      <c r="P31" s="301" t="e">
        <f>N31-#REF!*'Для Председателя сравнение'!$P$4</f>
        <v>#REF!</v>
      </c>
    </row>
    <row r="32" spans="1:16" ht="60.75" x14ac:dyDescent="0.2">
      <c r="A32" s="218" t="s">
        <v>105</v>
      </c>
      <c r="B32" s="148" t="s">
        <v>39</v>
      </c>
      <c r="C32" s="211">
        <v>400330</v>
      </c>
      <c r="D32" s="227">
        <v>2.777E-3</v>
      </c>
      <c r="E32" s="161" t="e">
        <f>#REF!</f>
        <v>#REF!</v>
      </c>
      <c r="F32" s="228" t="e">
        <f>#REF!</f>
        <v>#REF!</v>
      </c>
      <c r="G32" s="248" t="e">
        <f t="shared" si="0"/>
        <v>#REF!</v>
      </c>
      <c r="H32" s="248" t="e">
        <f>#REF!</f>
        <v>#REF!</v>
      </c>
      <c r="I32" s="132">
        <v>57450.2</v>
      </c>
      <c r="J32" s="162" t="e">
        <f>#REF!</f>
        <v>#REF!</v>
      </c>
      <c r="K32" s="275" t="e">
        <f t="shared" si="1"/>
        <v>#REF!</v>
      </c>
      <c r="L32" s="275" t="e">
        <f>#REF!</f>
        <v>#REF!</v>
      </c>
      <c r="M32" s="289">
        <v>27560204.600000001</v>
      </c>
      <c r="N32" s="284" t="e">
        <f>#REF!</f>
        <v>#REF!</v>
      </c>
      <c r="O32" s="294" t="e">
        <f t="shared" si="2"/>
        <v>#REF!</v>
      </c>
      <c r="P32" s="294" t="e">
        <f>N32-#REF!*'Для Председателя сравнение'!$P$4</f>
        <v>#REF!</v>
      </c>
    </row>
    <row r="33" spans="1:16" ht="101.25" x14ac:dyDescent="0.2">
      <c r="A33" s="218" t="s">
        <v>439</v>
      </c>
      <c r="B33" s="148" t="s">
        <v>39</v>
      </c>
      <c r="C33" s="211">
        <v>10930244.916616</v>
      </c>
      <c r="D33" s="227">
        <v>7.5822740620128989E-2</v>
      </c>
      <c r="E33" s="161" t="e">
        <f>#REF!</f>
        <v>#REF!</v>
      </c>
      <c r="F33" s="228" t="e">
        <f>#REF!</f>
        <v>#REF!</v>
      </c>
      <c r="G33" s="248" t="e">
        <f t="shared" si="0"/>
        <v>#REF!</v>
      </c>
      <c r="H33" s="248" t="e">
        <f>#REF!</f>
        <v>#REF!</v>
      </c>
      <c r="I33" s="132">
        <v>26975.1</v>
      </c>
      <c r="J33" s="162" t="e">
        <f>#REF!</f>
        <v>#REF!</v>
      </c>
      <c r="K33" s="275" t="e">
        <f t="shared" si="1"/>
        <v>#REF!</v>
      </c>
      <c r="L33" s="275" t="e">
        <f>#REF!</f>
        <v>#REF!</v>
      </c>
      <c r="M33" s="290">
        <v>355878499.89999998</v>
      </c>
      <c r="N33" s="284" t="e">
        <f>#REF!</f>
        <v>#REF!</v>
      </c>
      <c r="O33" s="294" t="e">
        <f t="shared" si="2"/>
        <v>#REF!</v>
      </c>
      <c r="P33" s="294" t="e">
        <f>N33-#REF!*'Для Председателя сравнение'!$P$4</f>
        <v>#REF!</v>
      </c>
    </row>
    <row r="34" spans="1:16" ht="20.25" x14ac:dyDescent="0.2">
      <c r="A34" s="219" t="s">
        <v>440</v>
      </c>
      <c r="B34" s="149" t="s">
        <v>39</v>
      </c>
      <c r="C34" s="211">
        <v>5399540.9888083041</v>
      </c>
      <c r="D34" s="209">
        <v>3.7456433866343723E-2</v>
      </c>
      <c r="E34" s="161" t="e">
        <f>#REF!</f>
        <v>#REF!</v>
      </c>
      <c r="F34" s="228" t="e">
        <f>#REF!</f>
        <v>#REF!</v>
      </c>
      <c r="G34" s="248" t="e">
        <f t="shared" si="0"/>
        <v>#REF!</v>
      </c>
      <c r="H34" s="248" t="e">
        <f>#REF!</f>
        <v>#REF!</v>
      </c>
      <c r="I34" s="132">
        <v>18402.032574288271</v>
      </c>
      <c r="J34" s="162" t="e">
        <f>#REF!</f>
        <v>#REF!</v>
      </c>
      <c r="K34" s="275" t="e">
        <f t="shared" si="1"/>
        <v>#REF!</v>
      </c>
      <c r="L34" s="275" t="e">
        <f>#REF!</f>
        <v>#REF!</v>
      </c>
      <c r="M34" s="290">
        <v>119930979.3</v>
      </c>
      <c r="N34" s="284" t="e">
        <f>#REF!</f>
        <v>#REF!</v>
      </c>
      <c r="O34" s="294" t="e">
        <f t="shared" si="2"/>
        <v>#REF!</v>
      </c>
      <c r="P34" s="294" t="e">
        <f>N34-#REF!*'Для Председателя сравнение'!$P$4</f>
        <v>#REF!</v>
      </c>
    </row>
    <row r="35" spans="1:16" ht="40.5" x14ac:dyDescent="0.2">
      <c r="A35" s="219" t="s">
        <v>441</v>
      </c>
      <c r="B35" s="149" t="s">
        <v>39</v>
      </c>
      <c r="C35" s="211">
        <v>5530703.9278076952</v>
      </c>
      <c r="D35" s="209">
        <v>3.8366306753785266E-2</v>
      </c>
      <c r="E35" s="161" t="e">
        <f>#REF!</f>
        <v>#REF!</v>
      </c>
      <c r="F35" s="228" t="e">
        <f>#REF!</f>
        <v>#REF!</v>
      </c>
      <c r="G35" s="248" t="e">
        <f t="shared" si="0"/>
        <v>#REF!</v>
      </c>
      <c r="H35" s="248" t="e">
        <f>#REF!</f>
        <v>#REF!</v>
      </c>
      <c r="I35" s="132">
        <v>35344.860002411791</v>
      </c>
      <c r="J35" s="162" t="e">
        <f>#REF!</f>
        <v>#REF!</v>
      </c>
      <c r="K35" s="275" t="e">
        <f t="shared" si="1"/>
        <v>#REF!</v>
      </c>
      <c r="L35" s="275" t="e">
        <f>#REF!</f>
        <v>#REF!</v>
      </c>
      <c r="M35" s="290">
        <v>235947520.59999999</v>
      </c>
      <c r="N35" s="284" t="e">
        <f>#REF!</f>
        <v>#REF!</v>
      </c>
      <c r="O35" s="294" t="e">
        <f t="shared" si="2"/>
        <v>#REF!</v>
      </c>
      <c r="P35" s="294" t="e">
        <f>N35-#REF!*'Для Председателя сравнение'!$P$4</f>
        <v>#REF!</v>
      </c>
    </row>
    <row r="36" spans="1:16" ht="60.75" x14ac:dyDescent="0.2">
      <c r="A36" s="276" t="s">
        <v>107</v>
      </c>
      <c r="B36" s="147" t="s">
        <v>39</v>
      </c>
      <c r="C36" s="234">
        <v>1690435.9855760003</v>
      </c>
      <c r="D36" s="226">
        <v>1.1726000000000002E-2</v>
      </c>
      <c r="E36" s="161" t="e">
        <f>#REF!</f>
        <v>#REF!</v>
      </c>
      <c r="F36" s="228" t="e">
        <f>#REF!</f>
        <v>#REF!</v>
      </c>
      <c r="G36" s="248" t="e">
        <f t="shared" si="0"/>
        <v>#REF!</v>
      </c>
      <c r="H36" s="248" t="e">
        <f>#REF!</f>
        <v>#REF!</v>
      </c>
      <c r="I36" s="272">
        <v>78724.284513047925</v>
      </c>
      <c r="J36" s="162" t="e">
        <f>#REF!</f>
        <v>#REF!</v>
      </c>
      <c r="K36" s="275" t="e">
        <f t="shared" si="1"/>
        <v>#REF!</v>
      </c>
      <c r="L36" s="275" t="e">
        <f>#REF!</f>
        <v>#REF!</v>
      </c>
      <c r="M36" s="290">
        <v>160525032.69999999</v>
      </c>
      <c r="N36" s="284" t="e">
        <f>#REF!</f>
        <v>#REF!</v>
      </c>
      <c r="O36" s="294" t="e">
        <f t="shared" si="2"/>
        <v>#REF!</v>
      </c>
      <c r="P36" s="294" t="e">
        <f>N36-#REF!*'Для Председателя сравнение'!$P$4</f>
        <v>#REF!</v>
      </c>
    </row>
    <row r="37" spans="1:16" ht="40.5" x14ac:dyDescent="0.2">
      <c r="A37" s="277" t="s">
        <v>108</v>
      </c>
      <c r="B37" s="149" t="s">
        <v>39</v>
      </c>
      <c r="C37" s="211">
        <v>109918</v>
      </c>
      <c r="D37" s="227">
        <v>7.6199999999999998E-4</v>
      </c>
      <c r="E37" s="161" t="e">
        <f>#REF!</f>
        <v>#REF!</v>
      </c>
      <c r="F37" s="228" t="e">
        <f>#REF!</f>
        <v>#REF!</v>
      </c>
      <c r="G37" s="248" t="e">
        <f t="shared" si="0"/>
        <v>#REF!</v>
      </c>
      <c r="H37" s="248" t="e">
        <f>#REF!</f>
        <v>#REF!</v>
      </c>
      <c r="I37" s="134">
        <v>99208.9</v>
      </c>
      <c r="J37" s="162" t="e">
        <f>#REF!</f>
        <v>#REF!</v>
      </c>
      <c r="K37" s="275" t="e">
        <f t="shared" si="1"/>
        <v>#REF!</v>
      </c>
      <c r="L37" s="275" t="e">
        <f>#REF!</f>
        <v>#REF!</v>
      </c>
      <c r="M37" s="286">
        <v>13059321.6</v>
      </c>
      <c r="N37" s="284" t="e">
        <f>#REF!</f>
        <v>#REF!</v>
      </c>
      <c r="O37" s="294" t="e">
        <f t="shared" si="2"/>
        <v>#REF!</v>
      </c>
      <c r="P37" s="294" t="e">
        <f>N37-#REF!*'Для Председателя сравнение'!$P$4</f>
        <v>#REF!</v>
      </c>
    </row>
    <row r="38" spans="1:16" ht="20.25" hidden="1" customHeight="1" x14ac:dyDescent="0.2">
      <c r="A38" s="278" t="s">
        <v>369</v>
      </c>
      <c r="B38" s="254" t="s">
        <v>39</v>
      </c>
      <c r="C38" s="263">
        <v>100586</v>
      </c>
      <c r="D38" s="264">
        <v>6.9776169209367727E-4</v>
      </c>
      <c r="E38" s="161" t="e">
        <f>#REF!</f>
        <v>#REF!</v>
      </c>
      <c r="F38" s="228" t="e">
        <f>#REF!</f>
        <v>#REF!</v>
      </c>
      <c r="G38" s="248" t="e">
        <f t="shared" si="0"/>
        <v>#REF!</v>
      </c>
      <c r="H38" s="248" t="e">
        <f>#REF!</f>
        <v>#REF!</v>
      </c>
      <c r="I38" s="273"/>
      <c r="J38" s="162" t="e">
        <f>#REF!</f>
        <v>#REF!</v>
      </c>
      <c r="K38" s="275" t="e">
        <f t="shared" si="1"/>
        <v>#REF!</v>
      </c>
      <c r="L38" s="275" t="e">
        <f>#REF!</f>
        <v>#REF!</v>
      </c>
      <c r="M38" s="291">
        <v>0</v>
      </c>
      <c r="N38" s="284" t="e">
        <f>#REF!</f>
        <v>#REF!</v>
      </c>
      <c r="O38" s="294" t="e">
        <f t="shared" si="2"/>
        <v>#REF!</v>
      </c>
      <c r="P38" s="294" t="e">
        <f>N38-#REF!*'Для Председателя сравнение'!$P$4</f>
        <v>#REF!</v>
      </c>
    </row>
    <row r="39" spans="1:16" ht="60.75" x14ac:dyDescent="0.2">
      <c r="A39" s="277" t="s">
        <v>109</v>
      </c>
      <c r="B39" s="149" t="s">
        <v>39</v>
      </c>
      <c r="C39" s="140">
        <v>1580517.9855760003</v>
      </c>
      <c r="D39" s="265">
        <v>1.0964000000000002E-2</v>
      </c>
      <c r="E39" s="161" t="e">
        <f>#REF!</f>
        <v>#REF!</v>
      </c>
      <c r="F39" s="228" t="e">
        <f>#REF!</f>
        <v>#REF!</v>
      </c>
      <c r="G39" s="248" t="e">
        <f t="shared" si="0"/>
        <v>#REF!</v>
      </c>
      <c r="H39" s="248" t="e">
        <f>#REF!</f>
        <v>#REF!</v>
      </c>
      <c r="I39" s="134">
        <v>77300.600000000006</v>
      </c>
      <c r="J39" s="162" t="e">
        <f>#REF!</f>
        <v>#REF!</v>
      </c>
      <c r="K39" s="275" t="e">
        <f t="shared" si="1"/>
        <v>#REF!</v>
      </c>
      <c r="L39" s="275" t="e">
        <f>#REF!</f>
        <v>#REF!</v>
      </c>
      <c r="M39" s="291">
        <v>147465711.09999999</v>
      </c>
      <c r="N39" s="284" t="e">
        <f>#REF!</f>
        <v>#REF!</v>
      </c>
      <c r="O39" s="294" t="e">
        <f t="shared" si="2"/>
        <v>#REF!</v>
      </c>
      <c r="P39" s="294" t="e">
        <f>N39-#REF!*'Для Председателя сравнение'!$P$4</f>
        <v>#REF!</v>
      </c>
    </row>
    <row r="40" spans="1:16" ht="81" hidden="1" customHeight="1" x14ac:dyDescent="0.2">
      <c r="A40" s="254" t="s">
        <v>370</v>
      </c>
      <c r="B40" s="254" t="s">
        <v>39</v>
      </c>
      <c r="C40" s="263">
        <v>1849636.0000000002</v>
      </c>
      <c r="D40" s="264">
        <v>1.2830862596359146E-2</v>
      </c>
      <c r="E40" s="161" t="e">
        <f>#REF!</f>
        <v>#REF!</v>
      </c>
      <c r="F40" s="228" t="e">
        <f>#REF!</f>
        <v>#REF!</v>
      </c>
      <c r="G40" s="248" t="e">
        <f t="shared" si="0"/>
        <v>#REF!</v>
      </c>
      <c r="H40" s="248" t="e">
        <f>#REF!</f>
        <v>#REF!</v>
      </c>
      <c r="I40" s="273"/>
      <c r="J40" s="162" t="e">
        <f>#REF!</f>
        <v>#REF!</v>
      </c>
      <c r="K40" s="275" t="e">
        <f t="shared" si="1"/>
        <v>#REF!</v>
      </c>
      <c r="L40" s="275" t="e">
        <f>#REF!</f>
        <v>#REF!</v>
      </c>
      <c r="M40" s="291">
        <v>0</v>
      </c>
      <c r="N40" s="284" t="e">
        <f>#REF!</f>
        <v>#REF!</v>
      </c>
      <c r="O40" s="294" t="e">
        <f t="shared" si="2"/>
        <v>#REF!</v>
      </c>
      <c r="P40" s="294" t="e">
        <f>N40-#REF!*'Для Председателя сравнение'!$P$4</f>
        <v>#REF!</v>
      </c>
    </row>
    <row r="41" spans="1:16" ht="60.75" x14ac:dyDescent="0.2">
      <c r="A41" s="305" t="s">
        <v>434</v>
      </c>
      <c r="B41" s="147" t="s">
        <v>39</v>
      </c>
      <c r="C41" s="234">
        <v>91477.931039999996</v>
      </c>
      <c r="D41" s="226">
        <v>6.3499999999999993E-4</v>
      </c>
      <c r="E41" s="161" t="e">
        <f>#REF!</f>
        <v>#REF!</v>
      </c>
      <c r="F41" s="228" t="e">
        <f>#REF!</f>
        <v>#REF!</v>
      </c>
      <c r="G41" s="248" t="e">
        <f t="shared" si="0"/>
        <v>#REF!</v>
      </c>
      <c r="H41" s="248" t="e">
        <f>#REF!</f>
        <v>#REF!</v>
      </c>
      <c r="I41" s="272">
        <v>126492.44094488191</v>
      </c>
      <c r="J41" s="162" t="e">
        <f>#REF!</f>
        <v>#REF!</v>
      </c>
      <c r="K41" s="275" t="e">
        <f t="shared" si="1"/>
        <v>#REF!</v>
      </c>
      <c r="L41" s="275" t="e">
        <f>#REF!</f>
        <v>#REF!</v>
      </c>
      <c r="M41" s="291">
        <v>13965683.1</v>
      </c>
      <c r="N41" s="284" t="e">
        <f>#REF!</f>
        <v>#REF!</v>
      </c>
      <c r="O41" s="294" t="e">
        <f t="shared" si="2"/>
        <v>#REF!</v>
      </c>
      <c r="P41" s="294" t="e">
        <f>N41-#REF!*'Для Председателя сравнение'!$P$4</f>
        <v>#REF!</v>
      </c>
    </row>
    <row r="42" spans="1:16" ht="40.5" x14ac:dyDescent="0.2">
      <c r="A42" s="306" t="s">
        <v>108</v>
      </c>
      <c r="B42" s="149" t="s">
        <v>39</v>
      </c>
      <c r="C42" s="140">
        <v>10751</v>
      </c>
      <c r="D42" s="226">
        <v>7.4999999999999993E-5</v>
      </c>
      <c r="E42" s="161" t="e">
        <f>#REF!</f>
        <v>#REF!</v>
      </c>
      <c r="F42" s="228" t="e">
        <f>#REF!</f>
        <v>#REF!</v>
      </c>
      <c r="G42" s="248" t="e">
        <f t="shared" si="0"/>
        <v>#REF!</v>
      </c>
      <c r="H42" s="248" t="e">
        <f>#REF!</f>
        <v>#REF!</v>
      </c>
      <c r="I42" s="134">
        <v>108426.4</v>
      </c>
      <c r="J42" s="162" t="e">
        <f>#REF!</f>
        <v>#REF!</v>
      </c>
      <c r="K42" s="275" t="e">
        <f t="shared" si="1"/>
        <v>#REF!</v>
      </c>
      <c r="L42" s="275" t="e">
        <f>#REF!</f>
        <v>#REF!</v>
      </c>
      <c r="M42" s="286">
        <v>1404789.7</v>
      </c>
      <c r="N42" s="284" t="e">
        <f>#REF!</f>
        <v>#REF!</v>
      </c>
      <c r="O42" s="294" t="e">
        <f t="shared" si="2"/>
        <v>#REF!</v>
      </c>
      <c r="P42" s="294" t="e">
        <f>N42-#REF!*'Для Председателя сравнение'!$P$4</f>
        <v>#REF!</v>
      </c>
    </row>
    <row r="43" spans="1:16" ht="60.75" x14ac:dyDescent="0.2">
      <c r="A43" s="306" t="s">
        <v>109</v>
      </c>
      <c r="B43" s="149" t="s">
        <v>39</v>
      </c>
      <c r="C43" s="140">
        <v>80726.931039999996</v>
      </c>
      <c r="D43" s="226">
        <v>5.5999999999999995E-4</v>
      </c>
      <c r="E43" s="161" t="e">
        <f>#REF!</f>
        <v>#REF!</v>
      </c>
      <c r="F43" s="228" t="e">
        <f>#REF!</f>
        <v>#REF!</v>
      </c>
      <c r="G43" s="248" t="e">
        <f t="shared" si="0"/>
        <v>#REF!</v>
      </c>
      <c r="H43" s="248" t="e">
        <f>#REF!</f>
        <v>#REF!</v>
      </c>
      <c r="I43" s="134">
        <v>128912</v>
      </c>
      <c r="J43" s="162" t="e">
        <f>#REF!</f>
        <v>#REF!</v>
      </c>
      <c r="K43" s="275" t="e">
        <f t="shared" si="1"/>
        <v>#REF!</v>
      </c>
      <c r="L43" s="275" t="e">
        <f>#REF!</f>
        <v>#REF!</v>
      </c>
      <c r="M43" s="291">
        <v>12560893.4</v>
      </c>
      <c r="N43" s="284" t="e">
        <f>#REF!</f>
        <v>#REF!</v>
      </c>
      <c r="O43" s="294" t="e">
        <f t="shared" si="2"/>
        <v>#REF!</v>
      </c>
      <c r="P43" s="294" t="e">
        <f>N43-#REF!*'Для Председателя сравнение'!$P$4</f>
        <v>#REF!</v>
      </c>
    </row>
    <row r="44" spans="1:16" ht="60.75" x14ac:dyDescent="0.2">
      <c r="A44" s="219" t="s">
        <v>435</v>
      </c>
      <c r="B44" s="149" t="s">
        <v>39</v>
      </c>
      <c r="C44" s="140">
        <v>40000</v>
      </c>
      <c r="D44" s="226">
        <v>2.7700000000000001E-4</v>
      </c>
      <c r="E44" s="161" t="e">
        <f>#REF!</f>
        <v>#REF!</v>
      </c>
      <c r="F44" s="228" t="e">
        <f>#REF!</f>
        <v>#REF!</v>
      </c>
      <c r="G44" s="248" t="e">
        <f t="shared" si="0"/>
        <v>#REF!</v>
      </c>
      <c r="H44" s="248" t="e">
        <f>#REF!</f>
        <v>#REF!</v>
      </c>
      <c r="I44" s="134">
        <v>143842.4</v>
      </c>
      <c r="J44" s="162" t="e">
        <f>#REF!</f>
        <v>#REF!</v>
      </c>
      <c r="K44" s="275" t="e">
        <f t="shared" si="1"/>
        <v>#REF!</v>
      </c>
      <c r="L44" s="275" t="e">
        <f>#REF!</f>
        <v>#REF!</v>
      </c>
      <c r="M44" s="291">
        <v>6932754.9000000004</v>
      </c>
      <c r="N44" s="284" t="e">
        <f>#REF!</f>
        <v>#REF!</v>
      </c>
      <c r="O44" s="294" t="e">
        <f t="shared" si="2"/>
        <v>#REF!</v>
      </c>
      <c r="P44" s="294" t="e">
        <f>N44-#REF!*'Для Председателя сравнение'!$P$4</f>
        <v>#REF!</v>
      </c>
    </row>
    <row r="45" spans="1:16" ht="60.75" x14ac:dyDescent="0.2">
      <c r="A45" s="219" t="s">
        <v>109</v>
      </c>
      <c r="B45" s="149" t="s">
        <v>39</v>
      </c>
      <c r="C45" s="140">
        <v>40000</v>
      </c>
      <c r="D45" s="226">
        <v>2.7700000000000001E-4</v>
      </c>
      <c r="E45" s="161" t="e">
        <f>#REF!</f>
        <v>#REF!</v>
      </c>
      <c r="F45" s="228" t="e">
        <f>#REF!</f>
        <v>#REF!</v>
      </c>
      <c r="G45" s="248" t="e">
        <f t="shared" si="0"/>
        <v>#REF!</v>
      </c>
      <c r="H45" s="248" t="e">
        <f>#REF!</f>
        <v>#REF!</v>
      </c>
      <c r="I45" s="134">
        <v>143842.4</v>
      </c>
      <c r="J45" s="162" t="e">
        <f>#REF!</f>
        <v>#REF!</v>
      </c>
      <c r="K45" s="275" t="e">
        <f t="shared" si="1"/>
        <v>#REF!</v>
      </c>
      <c r="L45" s="275" t="e">
        <f>#REF!</f>
        <v>#REF!</v>
      </c>
      <c r="M45" s="291">
        <v>6932754.9000000004</v>
      </c>
      <c r="N45" s="284" t="e">
        <f>#REF!</f>
        <v>#REF!</v>
      </c>
      <c r="O45" s="294" t="e">
        <f t="shared" si="2"/>
        <v>#REF!</v>
      </c>
      <c r="P45" s="294" t="e">
        <f>N45-#REF!*'Для Председателя сравнение'!$P$4</f>
        <v>#REF!</v>
      </c>
    </row>
    <row r="46" spans="1:16" ht="20.25" x14ac:dyDescent="0.2">
      <c r="A46" s="217" t="s">
        <v>436</v>
      </c>
      <c r="B46" s="147" t="s">
        <v>39</v>
      </c>
      <c r="C46" s="234">
        <v>9508661</v>
      </c>
      <c r="D46" s="226">
        <v>6.5961740620128995E-2</v>
      </c>
      <c r="E46" s="161" t="e">
        <f>#REF!</f>
        <v>#REF!</v>
      </c>
      <c r="F46" s="228" t="e">
        <f>#REF!</f>
        <v>#REF!</v>
      </c>
      <c r="G46" s="248" t="e">
        <f t="shared" si="0"/>
        <v>#REF!</v>
      </c>
      <c r="H46" s="248" t="e">
        <f>#REF!</f>
        <v>#REF!</v>
      </c>
      <c r="I46" s="272">
        <v>17610</v>
      </c>
      <c r="J46" s="162" t="e">
        <f>#REF!</f>
        <v>#REF!</v>
      </c>
      <c r="K46" s="275" t="e">
        <f t="shared" si="1"/>
        <v>#REF!</v>
      </c>
      <c r="L46" s="275" t="e">
        <f>#REF!</f>
        <v>#REF!</v>
      </c>
      <c r="M46" s="291">
        <v>208947988.70000002</v>
      </c>
      <c r="N46" s="284" t="e">
        <f>#REF!</f>
        <v>#REF!</v>
      </c>
      <c r="O46" s="294" t="e">
        <f t="shared" si="2"/>
        <v>#REF!</v>
      </c>
      <c r="P46" s="294" t="e">
        <f>N46-#REF!*'Для Председателя сравнение'!$P$4</f>
        <v>#REF!</v>
      </c>
    </row>
    <row r="47" spans="1:16" ht="40.5" x14ac:dyDescent="0.2">
      <c r="A47" s="220" t="s">
        <v>108</v>
      </c>
      <c r="B47" s="159" t="s">
        <v>39</v>
      </c>
      <c r="C47" s="234">
        <v>279662</v>
      </c>
      <c r="D47" s="226">
        <v>1.9400058689509701E-3</v>
      </c>
      <c r="E47" s="161" t="e">
        <f>#REF!</f>
        <v>#REF!</v>
      </c>
      <c r="F47" s="228" t="e">
        <f>#REF!</f>
        <v>#REF!</v>
      </c>
      <c r="G47" s="248" t="e">
        <f t="shared" si="0"/>
        <v>#REF!</v>
      </c>
      <c r="H47" s="248" t="e">
        <f>#REF!</f>
        <v>#REF!</v>
      </c>
      <c r="I47" s="233">
        <v>39079.599999999999</v>
      </c>
      <c r="J47" s="162" t="e">
        <f>#REF!</f>
        <v>#REF!</v>
      </c>
      <c r="K47" s="275" t="e">
        <f t="shared" si="1"/>
        <v>#REF!</v>
      </c>
      <c r="L47" s="275" t="e">
        <f>#REF!</f>
        <v>#REF!</v>
      </c>
      <c r="M47" s="286">
        <v>13096093.300000003</v>
      </c>
      <c r="N47" s="284" t="e">
        <f>#REF!</f>
        <v>#REF!</v>
      </c>
      <c r="O47" s="294" t="e">
        <f t="shared" si="2"/>
        <v>#REF!</v>
      </c>
      <c r="P47" s="294" t="e">
        <f>N47-#REF!*'Для Председателя сравнение'!$P$4</f>
        <v>#REF!</v>
      </c>
    </row>
    <row r="48" spans="1:16" ht="60.75" x14ac:dyDescent="0.2">
      <c r="A48" s="220" t="s">
        <v>442</v>
      </c>
      <c r="B48" s="159" t="s">
        <v>39</v>
      </c>
      <c r="C48" s="216">
        <v>9229000</v>
      </c>
      <c r="D48" s="240">
        <v>6.4021740620128983E-2</v>
      </c>
      <c r="E48" s="161" t="e">
        <f>#REF!</f>
        <v>#REF!</v>
      </c>
      <c r="F48" s="228" t="e">
        <f>#REF!</f>
        <v>#REF!</v>
      </c>
      <c r="G48" s="248" t="e">
        <f t="shared" si="0"/>
        <v>#REF!</v>
      </c>
      <c r="H48" s="248" t="e">
        <f>#REF!</f>
        <v>#REF!</v>
      </c>
      <c r="I48" s="221">
        <v>16959.400000000001</v>
      </c>
      <c r="J48" s="162" t="e">
        <f>#REF!</f>
        <v>#REF!</v>
      </c>
      <c r="K48" s="275" t="e">
        <f t="shared" si="1"/>
        <v>#REF!</v>
      </c>
      <c r="L48" s="275" t="e">
        <f>#REF!</f>
        <v>#REF!</v>
      </c>
      <c r="M48" s="291">
        <v>188919140.5</v>
      </c>
      <c r="N48" s="284" t="e">
        <f>#REF!</f>
        <v>#REF!</v>
      </c>
      <c r="O48" s="294" t="e">
        <f t="shared" si="2"/>
        <v>#REF!</v>
      </c>
      <c r="P48" s="294" t="e">
        <f>N48-#REF!*'Для Председателя сравнение'!$P$4</f>
        <v>#REF!</v>
      </c>
    </row>
    <row r="49" spans="1:16" ht="20.25" x14ac:dyDescent="0.2">
      <c r="A49" s="219" t="s">
        <v>440</v>
      </c>
      <c r="B49" s="149" t="s">
        <v>39</v>
      </c>
      <c r="C49" s="216">
        <v>5399540.9888083041</v>
      </c>
      <c r="D49" s="240">
        <v>3.7456433866343716E-2</v>
      </c>
      <c r="E49" s="161" t="e">
        <f>#REF!</f>
        <v>#REF!</v>
      </c>
      <c r="F49" s="228" t="e">
        <f>#REF!</f>
        <v>#REF!</v>
      </c>
      <c r="G49" s="248" t="e">
        <f t="shared" si="0"/>
        <v>#REF!</v>
      </c>
      <c r="H49" s="248" t="e">
        <f>#REF!</f>
        <v>#REF!</v>
      </c>
      <c r="I49" s="221">
        <v>18210.34</v>
      </c>
      <c r="J49" s="162" t="e">
        <f>#REF!</f>
        <v>#REF!</v>
      </c>
      <c r="K49" s="275" t="e">
        <f t="shared" si="1"/>
        <v>#REF!</v>
      </c>
      <c r="L49" s="275" t="e">
        <f>#REF!</f>
        <v>#REF!</v>
      </c>
      <c r="M49" s="291">
        <v>119930979.3</v>
      </c>
      <c r="N49" s="284" t="e">
        <f>#REF!</f>
        <v>#REF!</v>
      </c>
      <c r="O49" s="294" t="e">
        <f t="shared" si="2"/>
        <v>#REF!</v>
      </c>
      <c r="P49" s="294" t="e">
        <f>N49-#REF!*'Для Председателя сравнение'!$P$4</f>
        <v>#REF!</v>
      </c>
    </row>
    <row r="50" spans="1:16" ht="40.5" x14ac:dyDescent="0.2">
      <c r="A50" s="219" t="s">
        <v>441</v>
      </c>
      <c r="B50" s="149" t="s">
        <v>39</v>
      </c>
      <c r="C50" s="234">
        <v>3829459.011191695</v>
      </c>
      <c r="D50" s="226">
        <v>2.6565306753785264E-2</v>
      </c>
      <c r="E50" s="161" t="e">
        <f>#REF!</f>
        <v>#REF!</v>
      </c>
      <c r="F50" s="228" t="e">
        <f>#REF!</f>
        <v>#REF!</v>
      </c>
      <c r="G50" s="248" t="e">
        <f t="shared" si="0"/>
        <v>#REF!</v>
      </c>
      <c r="H50" s="248" t="e">
        <f>#REF!</f>
        <v>#REF!</v>
      </c>
      <c r="I50" s="221">
        <v>15195.6</v>
      </c>
      <c r="J50" s="162" t="e">
        <f>#REF!</f>
        <v>#REF!</v>
      </c>
      <c r="K50" s="275" t="e">
        <f t="shared" si="1"/>
        <v>#REF!</v>
      </c>
      <c r="L50" s="275" t="e">
        <f>#REF!</f>
        <v>#REF!</v>
      </c>
      <c r="M50" s="292">
        <v>68988161.199999988</v>
      </c>
      <c r="N50" s="284" t="e">
        <f>#REF!</f>
        <v>#REF!</v>
      </c>
      <c r="O50" s="294" t="e">
        <f t="shared" si="2"/>
        <v>#REF!</v>
      </c>
      <c r="P50" s="294" t="e">
        <f>N50-#REF!*'Для Председателя сравнение'!$P$4</f>
        <v>#REF!</v>
      </c>
    </row>
    <row r="51" spans="1:16" ht="121.5" x14ac:dyDescent="0.2">
      <c r="A51" s="296" t="s">
        <v>111</v>
      </c>
      <c r="B51" s="297" t="s">
        <v>33</v>
      </c>
      <c r="C51" s="298">
        <v>25510739.483706001</v>
      </c>
      <c r="D51" s="299">
        <v>0.17696699999999999</v>
      </c>
      <c r="E51" s="298" t="e">
        <f>#REF!</f>
        <v>#REF!</v>
      </c>
      <c r="F51" s="299" t="e">
        <f>#REF!</f>
        <v>#REF!</v>
      </c>
      <c r="G51" s="300" t="e">
        <f t="shared" si="0"/>
        <v>#REF!</v>
      </c>
      <c r="H51" s="300" t="e">
        <f>#REF!</f>
        <v>#REF!</v>
      </c>
      <c r="I51" s="301">
        <v>46109.588081958791</v>
      </c>
      <c r="J51" s="301" t="e">
        <f>#REF!</f>
        <v>#REF!</v>
      </c>
      <c r="K51" s="300" t="e">
        <f t="shared" si="1"/>
        <v>#REF!</v>
      </c>
      <c r="L51" s="300" t="e">
        <f>#REF!</f>
        <v>#REF!</v>
      </c>
      <c r="M51" s="303">
        <v>1418582264.8999999</v>
      </c>
      <c r="N51" s="301" t="e">
        <f>#REF!</f>
        <v>#REF!</v>
      </c>
      <c r="O51" s="301" t="e">
        <f t="shared" si="2"/>
        <v>#REF!</v>
      </c>
      <c r="P51" s="301" t="e">
        <f>N51-#REF!*'Для Председателя сравнение'!$P$4</f>
        <v>#REF!</v>
      </c>
    </row>
    <row r="52" spans="1:16" ht="60.75" x14ac:dyDescent="0.2">
      <c r="A52" s="218" t="s">
        <v>105</v>
      </c>
      <c r="B52" s="148" t="s">
        <v>33</v>
      </c>
      <c r="C52" s="211">
        <v>1738244</v>
      </c>
      <c r="D52" s="227">
        <v>1.2057999999999999E-2</v>
      </c>
      <c r="E52" s="161" t="e">
        <f>#REF!</f>
        <v>#REF!</v>
      </c>
      <c r="F52" s="228" t="e">
        <f>#REF!</f>
        <v>#REF!</v>
      </c>
      <c r="G52" s="248" t="e">
        <f t="shared" si="0"/>
        <v>#REF!</v>
      </c>
      <c r="H52" s="248" t="e">
        <f>#REF!</f>
        <v>#REF!</v>
      </c>
      <c r="I52" s="132">
        <v>80000.7</v>
      </c>
      <c r="J52" s="162" t="e">
        <f>#REF!</f>
        <v>#REF!</v>
      </c>
      <c r="K52" s="275" t="e">
        <f t="shared" si="1"/>
        <v>#REF!</v>
      </c>
      <c r="L52" s="275" t="e">
        <f>#REF!</f>
        <v>#REF!</v>
      </c>
      <c r="M52" s="289">
        <v>166641850.09999999</v>
      </c>
      <c r="N52" s="284" t="e">
        <f>#REF!</f>
        <v>#REF!</v>
      </c>
      <c r="O52" s="294" t="e">
        <f t="shared" si="2"/>
        <v>#REF!</v>
      </c>
      <c r="P52" s="294" t="e">
        <f>N52-#REF!*'Для Председателя сравнение'!$P$4</f>
        <v>#REF!</v>
      </c>
    </row>
    <row r="53" spans="1:16" ht="81" x14ac:dyDescent="0.2">
      <c r="A53" s="218" t="s">
        <v>106</v>
      </c>
      <c r="B53" s="148" t="s">
        <v>33</v>
      </c>
      <c r="C53" s="211">
        <v>23772495.483706001</v>
      </c>
      <c r="D53" s="265">
        <v>0.164909</v>
      </c>
      <c r="E53" s="161" t="e">
        <f>#REF!</f>
        <v>#REF!</v>
      </c>
      <c r="F53" s="228" t="e">
        <f>#REF!</f>
        <v>#REF!</v>
      </c>
      <c r="G53" s="248" t="e">
        <f t="shared" si="0"/>
        <v>#REF!</v>
      </c>
      <c r="H53" s="248" t="e">
        <f>#REF!</f>
        <v>#REF!</v>
      </c>
      <c r="I53" s="132">
        <v>43631.5</v>
      </c>
      <c r="J53" s="162" t="e">
        <f>#REF!</f>
        <v>#REF!</v>
      </c>
      <c r="K53" s="275" t="e">
        <f t="shared" si="1"/>
        <v>#REF!</v>
      </c>
      <c r="L53" s="275" t="e">
        <f>#REF!</f>
        <v>#REF!</v>
      </c>
      <c r="M53" s="290">
        <v>1251940414.8</v>
      </c>
      <c r="N53" s="284" t="e">
        <f>#REF!</f>
        <v>#REF!</v>
      </c>
      <c r="O53" s="294" t="e">
        <f t="shared" si="2"/>
        <v>#REF!</v>
      </c>
      <c r="P53" s="294" t="e">
        <f>N53-#REF!*'Для Председателя сравнение'!$P$4</f>
        <v>#REF!</v>
      </c>
    </row>
    <row r="54" spans="1:16" ht="60.75" x14ac:dyDescent="0.2">
      <c r="A54" s="276" t="s">
        <v>112</v>
      </c>
      <c r="B54" s="147" t="s">
        <v>33</v>
      </c>
      <c r="C54" s="234">
        <v>1518838.6186840001</v>
      </c>
      <c r="D54" s="226">
        <v>1.0536E-2</v>
      </c>
      <c r="E54" s="161" t="e">
        <f>#REF!</f>
        <v>#REF!</v>
      </c>
      <c r="F54" s="228" t="e">
        <f>#REF!</f>
        <v>#REF!</v>
      </c>
      <c r="G54" s="248" t="e">
        <f t="shared" si="0"/>
        <v>#REF!</v>
      </c>
      <c r="H54" s="248" t="e">
        <f>#REF!</f>
        <v>#REF!</v>
      </c>
      <c r="I54" s="272">
        <v>97940.847539464376</v>
      </c>
      <c r="J54" s="162" t="e">
        <f>#REF!</f>
        <v>#REF!</v>
      </c>
      <c r="K54" s="275" t="e">
        <f t="shared" si="1"/>
        <v>#REF!</v>
      </c>
      <c r="L54" s="275" t="e">
        <f>#REF!</f>
        <v>#REF!</v>
      </c>
      <c r="M54" s="290">
        <v>179312317.80000001</v>
      </c>
      <c r="N54" s="284" t="e">
        <f>#REF!</f>
        <v>#REF!</v>
      </c>
      <c r="O54" s="294" t="e">
        <f t="shared" si="2"/>
        <v>#REF!</v>
      </c>
      <c r="P54" s="294" t="e">
        <f>N54-#REF!*'Для Председателя сравнение'!$P$4</f>
        <v>#REF!</v>
      </c>
    </row>
    <row r="55" spans="1:16" ht="40.5" x14ac:dyDescent="0.2">
      <c r="A55" s="277" t="s">
        <v>108</v>
      </c>
      <c r="B55" s="149" t="s">
        <v>33</v>
      </c>
      <c r="C55" s="211">
        <v>232109</v>
      </c>
      <c r="D55" s="227">
        <v>1.6100000000000001E-3</v>
      </c>
      <c r="E55" s="161" t="e">
        <f>#REF!</f>
        <v>#REF!</v>
      </c>
      <c r="F55" s="228" t="e">
        <f>#REF!</f>
        <v>#REF!</v>
      </c>
      <c r="G55" s="248" t="e">
        <f t="shared" si="0"/>
        <v>#REF!</v>
      </c>
      <c r="H55" s="248" t="e">
        <f>#REF!</f>
        <v>#REF!</v>
      </c>
      <c r="I55" s="134">
        <v>116789.5</v>
      </c>
      <c r="J55" s="162" t="e">
        <f>#REF!</f>
        <v>#REF!</v>
      </c>
      <c r="K55" s="275" t="e">
        <f t="shared" si="1"/>
        <v>#REF!</v>
      </c>
      <c r="L55" s="275" t="e">
        <f>#REF!</f>
        <v>#REF!</v>
      </c>
      <c r="M55" s="286">
        <v>32482144</v>
      </c>
      <c r="N55" s="284" t="e">
        <f>#REF!</f>
        <v>#REF!</v>
      </c>
      <c r="O55" s="294" t="e">
        <f t="shared" si="2"/>
        <v>#REF!</v>
      </c>
      <c r="P55" s="294" t="e">
        <f>N55-#REF!*'Для Председателя сравнение'!$P$4</f>
        <v>#REF!</v>
      </c>
    </row>
    <row r="56" spans="1:16" ht="20.25" hidden="1" customHeight="1" x14ac:dyDescent="0.2">
      <c r="A56" s="278" t="s">
        <v>369</v>
      </c>
      <c r="B56" s="254"/>
      <c r="C56" s="263">
        <v>216390</v>
      </c>
      <c r="D56" s="266">
        <v>1.5010901373168316E-3</v>
      </c>
      <c r="E56" s="161" t="e">
        <f>#REF!</f>
        <v>#REF!</v>
      </c>
      <c r="F56" s="228" t="e">
        <f>#REF!</f>
        <v>#REF!</v>
      </c>
      <c r="G56" s="248" t="e">
        <f t="shared" si="0"/>
        <v>#REF!</v>
      </c>
      <c r="H56" s="248" t="e">
        <f>#REF!</f>
        <v>#REF!</v>
      </c>
      <c r="I56" s="273"/>
      <c r="J56" s="162" t="e">
        <f>#REF!</f>
        <v>#REF!</v>
      </c>
      <c r="K56" s="275" t="e">
        <f t="shared" si="1"/>
        <v>#REF!</v>
      </c>
      <c r="L56" s="275" t="e">
        <f>#REF!</f>
        <v>#REF!</v>
      </c>
      <c r="M56" s="291">
        <v>0</v>
      </c>
      <c r="N56" s="284" t="e">
        <f>#REF!</f>
        <v>#REF!</v>
      </c>
      <c r="O56" s="294" t="e">
        <f t="shared" si="2"/>
        <v>#REF!</v>
      </c>
      <c r="P56" s="294" t="e">
        <f>N56-#REF!*'Для Председателя сравнение'!$P$4</f>
        <v>#REF!</v>
      </c>
    </row>
    <row r="57" spans="1:16" ht="60.75" x14ac:dyDescent="0.2">
      <c r="A57" s="277" t="s">
        <v>109</v>
      </c>
      <c r="B57" s="149" t="s">
        <v>33</v>
      </c>
      <c r="C57" s="140">
        <v>1286729.6186840001</v>
      </c>
      <c r="D57" s="267">
        <v>8.9259999999999999E-3</v>
      </c>
      <c r="E57" s="161" t="e">
        <f>#REF!</f>
        <v>#REF!</v>
      </c>
      <c r="F57" s="228" t="e">
        <f>#REF!</f>
        <v>#REF!</v>
      </c>
      <c r="G57" s="248" t="e">
        <f t="shared" si="0"/>
        <v>#REF!</v>
      </c>
      <c r="H57" s="248" t="e">
        <f>#REF!</f>
        <v>#REF!</v>
      </c>
      <c r="I57" s="134">
        <v>94540.800000000003</v>
      </c>
      <c r="J57" s="162" t="e">
        <f>#REF!</f>
        <v>#REF!</v>
      </c>
      <c r="K57" s="275" t="e">
        <f t="shared" si="1"/>
        <v>#REF!</v>
      </c>
      <c r="L57" s="275" t="e">
        <f>#REF!</f>
        <v>#REF!</v>
      </c>
      <c r="M57" s="291">
        <v>146830173.80000001</v>
      </c>
      <c r="N57" s="284" t="e">
        <f>#REF!</f>
        <v>#REF!</v>
      </c>
      <c r="O57" s="294" t="e">
        <f t="shared" si="2"/>
        <v>#REF!</v>
      </c>
      <c r="P57" s="294" t="e">
        <f>N57-#REF!*'Для Председателя сравнение'!$P$4</f>
        <v>#REF!</v>
      </c>
    </row>
    <row r="58" spans="1:16" ht="20.25" hidden="1" customHeight="1" x14ac:dyDescent="0.2">
      <c r="A58" s="254"/>
      <c r="B58" s="254"/>
      <c r="C58" s="263"/>
      <c r="D58" s="266"/>
      <c r="E58" s="161"/>
      <c r="F58" s="228"/>
      <c r="G58" s="248"/>
      <c r="H58" s="248" t="e">
        <f>#REF!</f>
        <v>#REF!</v>
      </c>
      <c r="I58" s="273"/>
      <c r="J58" s="162" t="e">
        <f>#REF!</f>
        <v>#REF!</v>
      </c>
      <c r="K58" s="275" t="e">
        <f t="shared" si="1"/>
        <v>#REF!</v>
      </c>
      <c r="L58" s="275" t="e">
        <f>#REF!</f>
        <v>#REF!</v>
      </c>
      <c r="M58" s="291"/>
      <c r="N58" s="284" t="e">
        <f>#REF!</f>
        <v>#REF!</v>
      </c>
      <c r="O58" s="294" t="e">
        <f t="shared" si="2"/>
        <v>#REF!</v>
      </c>
      <c r="P58" s="294" t="e">
        <f>N58-#REF!*'Для Председателя сравнение'!$P$4</f>
        <v>#REF!</v>
      </c>
    </row>
    <row r="59" spans="1:16" ht="20.25" hidden="1" customHeight="1" x14ac:dyDescent="0.2">
      <c r="A59" s="255"/>
      <c r="B59" s="255"/>
      <c r="C59" s="268"/>
      <c r="D59" s="269"/>
      <c r="E59" s="161"/>
      <c r="F59" s="228"/>
      <c r="G59" s="248"/>
      <c r="H59" s="248" t="e">
        <f>#REF!</f>
        <v>#REF!</v>
      </c>
      <c r="I59" s="274">
        <v>0</v>
      </c>
      <c r="J59" s="162" t="e">
        <f>#REF!</f>
        <v>#REF!</v>
      </c>
      <c r="K59" s="275" t="e">
        <f t="shared" si="1"/>
        <v>#REF!</v>
      </c>
      <c r="L59" s="275" t="e">
        <f>#REF!</f>
        <v>#REF!</v>
      </c>
      <c r="M59" s="291"/>
      <c r="N59" s="284" t="e">
        <f>#REF!</f>
        <v>#REF!</v>
      </c>
      <c r="O59" s="294" t="e">
        <f t="shared" si="2"/>
        <v>#REF!</v>
      </c>
      <c r="P59" s="294" t="e">
        <f>N59-#REF!*'Для Председателя сравнение'!$P$4</f>
        <v>#REF!</v>
      </c>
    </row>
    <row r="60" spans="1:16" ht="20.25" hidden="1" customHeight="1" x14ac:dyDescent="0.2">
      <c r="A60" s="254"/>
      <c r="B60" s="254"/>
      <c r="C60" s="268"/>
      <c r="D60" s="269"/>
      <c r="E60" s="161"/>
      <c r="F60" s="228"/>
      <c r="G60" s="248"/>
      <c r="H60" s="248" t="e">
        <f>#REF!</f>
        <v>#REF!</v>
      </c>
      <c r="I60" s="273">
        <v>0</v>
      </c>
      <c r="J60" s="162" t="e">
        <f>#REF!</f>
        <v>#REF!</v>
      </c>
      <c r="K60" s="275" t="e">
        <f t="shared" si="1"/>
        <v>#REF!</v>
      </c>
      <c r="L60" s="275" t="e">
        <f>#REF!</f>
        <v>#REF!</v>
      </c>
      <c r="M60" s="286"/>
      <c r="N60" s="284" t="e">
        <f>#REF!</f>
        <v>#REF!</v>
      </c>
      <c r="O60" s="294" t="e">
        <f t="shared" si="2"/>
        <v>#REF!</v>
      </c>
      <c r="P60" s="294" t="e">
        <f>N60-#REF!*'Для Председателя сравнение'!$P$4</f>
        <v>#REF!</v>
      </c>
    </row>
    <row r="61" spans="1:16" ht="20.25" hidden="1" customHeight="1" x14ac:dyDescent="0.2">
      <c r="A61" s="254"/>
      <c r="B61" s="254"/>
      <c r="C61" s="263"/>
      <c r="D61" s="269"/>
      <c r="E61" s="161"/>
      <c r="F61" s="228"/>
      <c r="G61" s="248"/>
      <c r="H61" s="248" t="e">
        <f>#REF!</f>
        <v>#REF!</v>
      </c>
      <c r="I61" s="273">
        <v>0</v>
      </c>
      <c r="J61" s="162" t="e">
        <f>#REF!</f>
        <v>#REF!</v>
      </c>
      <c r="K61" s="275" t="e">
        <f t="shared" si="1"/>
        <v>#REF!</v>
      </c>
      <c r="L61" s="275" t="e">
        <f>#REF!</f>
        <v>#REF!</v>
      </c>
      <c r="M61" s="291"/>
      <c r="N61" s="284" t="e">
        <f>#REF!</f>
        <v>#REF!</v>
      </c>
      <c r="O61" s="294" t="e">
        <f t="shared" si="2"/>
        <v>#REF!</v>
      </c>
      <c r="P61" s="294" t="e">
        <f>N61-#REF!*'Для Председателя сравнение'!$P$4</f>
        <v>#REF!</v>
      </c>
    </row>
    <row r="62" spans="1:16" ht="20.25" x14ac:dyDescent="0.2">
      <c r="A62" s="217" t="s">
        <v>448</v>
      </c>
      <c r="B62" s="147" t="s">
        <v>33</v>
      </c>
      <c r="C62" s="234">
        <v>23991900.865022</v>
      </c>
      <c r="D62" s="226">
        <v>0.166431</v>
      </c>
      <c r="E62" s="161" t="e">
        <f>#REF!</f>
        <v>#REF!</v>
      </c>
      <c r="F62" s="228" t="e">
        <f>#REF!</f>
        <v>#REF!</v>
      </c>
      <c r="G62" s="248" t="e">
        <f t="shared" si="0"/>
        <v>#REF!</v>
      </c>
      <c r="H62" s="248" t="e">
        <f>#REF!</f>
        <v>#REF!</v>
      </c>
      <c r="I62" s="272">
        <v>42828.383560900336</v>
      </c>
      <c r="J62" s="162" t="e">
        <f>#REF!</f>
        <v>#REF!</v>
      </c>
      <c r="K62" s="275" t="e">
        <f t="shared" si="1"/>
        <v>#REF!</v>
      </c>
      <c r="L62" s="275" t="e">
        <f>#REF!</f>
        <v>#REF!</v>
      </c>
      <c r="M62" s="291">
        <v>1239269947.0999999</v>
      </c>
      <c r="N62" s="284" t="e">
        <f>#REF!</f>
        <v>#REF!</v>
      </c>
      <c r="O62" s="294" t="e">
        <f t="shared" si="2"/>
        <v>#REF!</v>
      </c>
      <c r="P62" s="294" t="e">
        <f>N62-#REF!*'Для Председателя сравнение'!$P$4</f>
        <v>#REF!</v>
      </c>
    </row>
    <row r="63" spans="1:16" ht="40.5" x14ac:dyDescent="0.2">
      <c r="A63" s="235" t="s">
        <v>108</v>
      </c>
      <c r="B63" s="236" t="s">
        <v>33</v>
      </c>
      <c r="C63" s="140">
        <v>1506135</v>
      </c>
      <c r="D63" s="230">
        <v>1.0448000000000001E-2</v>
      </c>
      <c r="E63" s="161" t="e">
        <f>#REF!</f>
        <v>#REF!</v>
      </c>
      <c r="F63" s="228" t="e">
        <f>#REF!</f>
        <v>#REF!</v>
      </c>
      <c r="G63" s="248" t="e">
        <f t="shared" si="0"/>
        <v>#REF!</v>
      </c>
      <c r="H63" s="248" t="e">
        <f>#REF!</f>
        <v>#REF!</v>
      </c>
      <c r="I63" s="238">
        <v>74332.7</v>
      </c>
      <c r="J63" s="162" t="e">
        <f>#REF!</f>
        <v>#REF!</v>
      </c>
      <c r="K63" s="275" t="e">
        <f t="shared" si="1"/>
        <v>#REF!</v>
      </c>
      <c r="L63" s="275" t="e">
        <f>#REF!</f>
        <v>#REF!</v>
      </c>
      <c r="M63" s="286">
        <v>134159706.09999999</v>
      </c>
      <c r="N63" s="284" t="e">
        <f>#REF!</f>
        <v>#REF!</v>
      </c>
      <c r="O63" s="294" t="e">
        <f t="shared" si="2"/>
        <v>#REF!</v>
      </c>
      <c r="P63" s="294" t="e">
        <f>N63-#REF!*'Для Председателя сравнение'!$P$4</f>
        <v>#REF!</v>
      </c>
    </row>
    <row r="64" spans="1:16" ht="60.75" x14ac:dyDescent="0.2">
      <c r="A64" s="235" t="s">
        <v>109</v>
      </c>
      <c r="B64" s="236" t="s">
        <v>33</v>
      </c>
      <c r="C64" s="140">
        <v>22485765.865022</v>
      </c>
      <c r="D64" s="270">
        <v>0.15598300000000001</v>
      </c>
      <c r="E64" s="161" t="e">
        <f>#REF!</f>
        <v>#REF!</v>
      </c>
      <c r="F64" s="228" t="e">
        <f>#REF!</f>
        <v>#REF!</v>
      </c>
      <c r="G64" s="248" t="e">
        <f t="shared" si="0"/>
        <v>#REF!</v>
      </c>
      <c r="H64" s="248" t="e">
        <f>#REF!</f>
        <v>#REF!</v>
      </c>
      <c r="I64" s="238">
        <v>40718.298877816371</v>
      </c>
      <c r="J64" s="162" t="e">
        <f>#REF!</f>
        <v>#REF!</v>
      </c>
      <c r="K64" s="275" t="e">
        <f t="shared" si="1"/>
        <v>#REF!</v>
      </c>
      <c r="L64" s="275" t="e">
        <f>#REF!</f>
        <v>#REF!</v>
      </c>
      <c r="M64" s="293">
        <v>1105110241</v>
      </c>
      <c r="N64" s="284" t="e">
        <f>#REF!</f>
        <v>#REF!</v>
      </c>
      <c r="O64" s="294" t="e">
        <f t="shared" si="2"/>
        <v>#REF!</v>
      </c>
      <c r="P64" s="294" t="e">
        <f>N64-#REF!*'Для Председателя сравнение'!$P$4</f>
        <v>#REF!</v>
      </c>
    </row>
    <row r="65" spans="1:16" ht="20.25" x14ac:dyDescent="0.2">
      <c r="A65" s="253" t="s">
        <v>113</v>
      </c>
      <c r="B65" s="252" t="s">
        <v>125</v>
      </c>
      <c r="C65" s="208" t="s">
        <v>125</v>
      </c>
      <c r="D65" s="225" t="s">
        <v>125</v>
      </c>
      <c r="E65" s="161" t="e">
        <f>#REF!</f>
        <v>#REF!</v>
      </c>
      <c r="F65" s="228" t="e">
        <f>#REF!</f>
        <v>#REF!</v>
      </c>
      <c r="G65" s="224" t="e">
        <f>#REF!</f>
        <v>#REF!</v>
      </c>
      <c r="H65" s="248" t="e">
        <f>#REF!</f>
        <v>#REF!</v>
      </c>
      <c r="I65" s="210" t="s">
        <v>125</v>
      </c>
      <c r="J65" s="162" t="e">
        <f>#REF!</f>
        <v>#REF!</v>
      </c>
      <c r="K65" s="275" t="e">
        <f>#REF!</f>
        <v>#REF!</v>
      </c>
      <c r="L65" s="275" t="e">
        <f>#REF!</f>
        <v>#REF!</v>
      </c>
      <c r="M65" s="285" t="e">
        <f>#REF!</f>
        <v>#REF!</v>
      </c>
      <c r="N65" s="285" t="e">
        <f>#REF!</f>
        <v>#REF!</v>
      </c>
      <c r="O65" s="304" t="e">
        <f>#REF!</f>
        <v>#REF!</v>
      </c>
      <c r="P65" s="304" t="e">
        <f>#REF!</f>
        <v>#REF!</v>
      </c>
    </row>
    <row r="66" spans="1:16" ht="20.25" x14ac:dyDescent="0.2">
      <c r="A66" s="253" t="s">
        <v>114</v>
      </c>
      <c r="B66" s="251" t="s">
        <v>15</v>
      </c>
      <c r="C66" s="259">
        <v>449187.70914399996</v>
      </c>
      <c r="D66" s="229">
        <v>3.1159999999999998E-3</v>
      </c>
      <c r="E66" s="161" t="e">
        <f>#REF!</f>
        <v>#REF!</v>
      </c>
      <c r="F66" s="228" t="e">
        <f>#REF!</f>
        <v>#REF!</v>
      </c>
      <c r="G66" s="248" t="e">
        <f t="shared" si="0"/>
        <v>#REF!</v>
      </c>
      <c r="H66" s="248" t="e">
        <f>#REF!</f>
        <v>#REF!</v>
      </c>
      <c r="I66" s="210">
        <v>21618.9</v>
      </c>
      <c r="J66" s="162" t="e">
        <f>#REF!</f>
        <v>#REF!</v>
      </c>
      <c r="K66" s="275" t="e">
        <f t="shared" si="1"/>
        <v>#REF!</v>
      </c>
      <c r="L66" s="275" t="e">
        <f>#REF!</f>
        <v>#REF!</v>
      </c>
      <c r="M66" s="289">
        <v>11721149.300000001</v>
      </c>
      <c r="N66" s="284" t="e">
        <f>#REF!</f>
        <v>#REF!</v>
      </c>
      <c r="O66" s="294" t="e">
        <f t="shared" si="2"/>
        <v>#REF!</v>
      </c>
      <c r="P66" s="294" t="e">
        <f>N66-#REF!*'Для Председателя сравнение'!$P$4</f>
        <v>#REF!</v>
      </c>
    </row>
    <row r="67" spans="1:16" ht="101.25" x14ac:dyDescent="0.2">
      <c r="A67" s="253" t="s">
        <v>115</v>
      </c>
      <c r="B67" s="251" t="s">
        <v>39</v>
      </c>
      <c r="C67" s="259">
        <v>393300.76363399997</v>
      </c>
      <c r="D67" s="225">
        <v>2.728E-3</v>
      </c>
      <c r="E67" s="161" t="e">
        <f>#REF!</f>
        <v>#REF!</v>
      </c>
      <c r="F67" s="228" t="e">
        <f>#REF!</f>
        <v>#REF!</v>
      </c>
      <c r="G67" s="248" t="e">
        <f t="shared" si="0"/>
        <v>#REF!</v>
      </c>
      <c r="H67" s="248" t="e">
        <f>#REF!</f>
        <v>#REF!</v>
      </c>
      <c r="I67" s="210">
        <v>25654.116275659821</v>
      </c>
      <c r="J67" s="162" t="e">
        <f>#REF!</f>
        <v>#REF!</v>
      </c>
      <c r="K67" s="275" t="e">
        <f t="shared" si="1"/>
        <v>#REF!</v>
      </c>
      <c r="L67" s="275" t="e">
        <f>#REF!</f>
        <v>#REF!</v>
      </c>
      <c r="M67" s="289">
        <v>12172219.300000001</v>
      </c>
      <c r="N67" s="284" t="e">
        <f>#REF!</f>
        <v>#REF!</v>
      </c>
      <c r="O67" s="294" t="e">
        <f t="shared" si="2"/>
        <v>#REF!</v>
      </c>
      <c r="P67" s="294" t="e">
        <f>N67-#REF!*'Для Председателя сравнение'!$P$4</f>
        <v>#REF!</v>
      </c>
    </row>
    <row r="68" spans="1:16" ht="40.5" x14ac:dyDescent="0.2">
      <c r="A68" s="218" t="s">
        <v>108</v>
      </c>
      <c r="B68" s="148" t="s">
        <v>39</v>
      </c>
      <c r="C68" s="211">
        <v>18353</v>
      </c>
      <c r="D68" s="227">
        <v>1.27E-4</v>
      </c>
      <c r="E68" s="161" t="e">
        <f>#REF!</f>
        <v>#REF!</v>
      </c>
      <c r="F68" s="228" t="e">
        <f>#REF!</f>
        <v>#REF!</v>
      </c>
      <c r="G68" s="248" t="e">
        <f t="shared" si="0"/>
        <v>#REF!</v>
      </c>
      <c r="H68" s="248" t="e">
        <f>#REF!</f>
        <v>#REF!</v>
      </c>
      <c r="I68" s="132">
        <v>30231.8</v>
      </c>
      <c r="J68" s="162" t="e">
        <f>#REF!</f>
        <v>#REF!</v>
      </c>
      <c r="K68" s="275" t="e">
        <f t="shared" si="1"/>
        <v>#REF!</v>
      </c>
      <c r="L68" s="275" t="e">
        <f>#REF!</f>
        <v>#REF!</v>
      </c>
      <c r="M68" s="289">
        <v>663258.4</v>
      </c>
      <c r="N68" s="284" t="e">
        <f>#REF!</f>
        <v>#REF!</v>
      </c>
      <c r="O68" s="294" t="e">
        <f t="shared" si="2"/>
        <v>#REF!</v>
      </c>
      <c r="P68" s="294" t="e">
        <f>N68-#REF!*'Для Председателя сравнение'!$P$4</f>
        <v>#REF!</v>
      </c>
    </row>
    <row r="69" spans="1:16" ht="60.75" x14ac:dyDescent="0.2">
      <c r="A69" s="218" t="s">
        <v>109</v>
      </c>
      <c r="B69" s="148" t="s">
        <v>39</v>
      </c>
      <c r="C69" s="211">
        <v>374947.76363399997</v>
      </c>
      <c r="D69" s="227">
        <v>2.601E-3</v>
      </c>
      <c r="E69" s="161" t="e">
        <f>#REF!</f>
        <v>#REF!</v>
      </c>
      <c r="F69" s="228" t="e">
        <f>#REF!</f>
        <v>#REF!</v>
      </c>
      <c r="G69" s="248" t="e">
        <f t="shared" si="0"/>
        <v>#REF!</v>
      </c>
      <c r="H69" s="248" t="e">
        <f>#REF!</f>
        <v>#REF!</v>
      </c>
      <c r="I69" s="132">
        <v>25430.6</v>
      </c>
      <c r="J69" s="162" t="e">
        <f>#REF!</f>
        <v>#REF!</v>
      </c>
      <c r="K69" s="275" t="e">
        <f t="shared" si="1"/>
        <v>#REF!</v>
      </c>
      <c r="L69" s="275" t="e">
        <f>#REF!</f>
        <v>#REF!</v>
      </c>
      <c r="M69" s="290">
        <v>11508960.9</v>
      </c>
      <c r="N69" s="284" t="e">
        <f>#REF!</f>
        <v>#REF!</v>
      </c>
      <c r="O69" s="294" t="e">
        <f t="shared" si="2"/>
        <v>#REF!</v>
      </c>
      <c r="P69" s="294" t="e">
        <f>N69-#REF!*'Для Председателя сравнение'!$P$4</f>
        <v>#REF!</v>
      </c>
    </row>
    <row r="70" spans="1:16" ht="101.25" x14ac:dyDescent="0.2">
      <c r="A70" s="256" t="s">
        <v>449</v>
      </c>
      <c r="B70" s="251" t="s">
        <v>33</v>
      </c>
      <c r="C70" s="259">
        <v>962380.34218400007</v>
      </c>
      <c r="D70" s="225">
        <v>6.6760000000000005E-3</v>
      </c>
      <c r="E70" s="161" t="e">
        <f>#REF!</f>
        <v>#REF!</v>
      </c>
      <c r="F70" s="228" t="e">
        <f>#REF!</f>
        <v>#REF!</v>
      </c>
      <c r="G70" s="248" t="e">
        <f t="shared" si="0"/>
        <v>#REF!</v>
      </c>
      <c r="H70" s="248" t="e">
        <f>#REF!</f>
        <v>#REF!</v>
      </c>
      <c r="I70" s="210">
        <v>54539.413241461953</v>
      </c>
      <c r="J70" s="162" t="e">
        <f>#REF!</f>
        <v>#REF!</v>
      </c>
      <c r="K70" s="275" t="e">
        <f t="shared" si="1"/>
        <v>#REF!</v>
      </c>
      <c r="L70" s="275" t="e">
        <f>#REF!</f>
        <v>#REF!</v>
      </c>
      <c r="M70" s="290">
        <v>63216742.600000001</v>
      </c>
      <c r="N70" s="284" t="e">
        <f>#REF!</f>
        <v>#REF!</v>
      </c>
      <c r="O70" s="294" t="e">
        <f t="shared" si="2"/>
        <v>#REF!</v>
      </c>
      <c r="P70" s="294" t="e">
        <f>N70-#REF!*'Для Председателя сравнение'!$P$4</f>
        <v>#REF!</v>
      </c>
    </row>
    <row r="71" spans="1:16" ht="40.5" x14ac:dyDescent="0.2">
      <c r="A71" s="218" t="s">
        <v>108</v>
      </c>
      <c r="B71" s="148" t="s">
        <v>33</v>
      </c>
      <c r="C71" s="211">
        <v>180181</v>
      </c>
      <c r="D71" s="227">
        <v>1.25E-3</v>
      </c>
      <c r="E71" s="161" t="e">
        <f>#REF!</f>
        <v>#REF!</v>
      </c>
      <c r="F71" s="228" t="e">
        <f>#REF!</f>
        <v>#REF!</v>
      </c>
      <c r="G71" s="248" t="e">
        <f t="shared" si="0"/>
        <v>#REF!</v>
      </c>
      <c r="H71" s="248" t="e">
        <f>#REF!</f>
        <v>#REF!</v>
      </c>
      <c r="I71" s="132">
        <v>87286.9</v>
      </c>
      <c r="J71" s="162" t="e">
        <f>#REF!</f>
        <v>#REF!</v>
      </c>
      <c r="K71" s="275" t="e">
        <f t="shared" si="1"/>
        <v>#REF!</v>
      </c>
      <c r="L71" s="275" t="e">
        <f>#REF!</f>
        <v>#REF!</v>
      </c>
      <c r="M71" s="289">
        <v>18848382.899999999</v>
      </c>
      <c r="N71" s="284" t="e">
        <f>#REF!</f>
        <v>#REF!</v>
      </c>
      <c r="O71" s="294" t="e">
        <f t="shared" si="2"/>
        <v>#REF!</v>
      </c>
      <c r="P71" s="294" t="e">
        <f>N71-#REF!*'Для Председателя сравнение'!$P$4</f>
        <v>#REF!</v>
      </c>
    </row>
    <row r="72" spans="1:16" ht="60.75" x14ac:dyDescent="0.2">
      <c r="A72" s="218" t="s">
        <v>109</v>
      </c>
      <c r="B72" s="148" t="s">
        <v>33</v>
      </c>
      <c r="C72" s="211">
        <v>782186.29968400009</v>
      </c>
      <c r="D72" s="227">
        <v>5.4260000000000003E-3</v>
      </c>
      <c r="E72" s="161" t="e">
        <f>#REF!</f>
        <v>#REF!</v>
      </c>
      <c r="F72" s="228" t="e">
        <f>#REF!</f>
        <v>#REF!</v>
      </c>
      <c r="G72" s="248" t="e">
        <f t="shared" si="0"/>
        <v>#REF!</v>
      </c>
      <c r="H72" s="248" t="e">
        <f>#REF!</f>
        <v>#REF!</v>
      </c>
      <c r="I72" s="132">
        <v>46995.3</v>
      </c>
      <c r="J72" s="162" t="e">
        <f>#REF!</f>
        <v>#REF!</v>
      </c>
      <c r="K72" s="275" t="e">
        <f t="shared" si="1"/>
        <v>#REF!</v>
      </c>
      <c r="L72" s="275" t="e">
        <f>#REF!</f>
        <v>#REF!</v>
      </c>
      <c r="M72" s="290">
        <v>44368359.700000003</v>
      </c>
      <c r="N72" s="284" t="e">
        <f>#REF!</f>
        <v>#REF!</v>
      </c>
      <c r="O72" s="294" t="e">
        <f t="shared" si="2"/>
        <v>#REF!</v>
      </c>
      <c r="P72" s="294" t="e">
        <f>N72-#REF!*'Для Председателя сравнение'!$P$4</f>
        <v>#REF!</v>
      </c>
    </row>
    <row r="73" spans="1:16" ht="26.25" x14ac:dyDescent="0.4">
      <c r="M73" s="136"/>
      <c r="N73" s="137"/>
    </row>
    <row r="74" spans="1:16" ht="26.25" x14ac:dyDescent="0.4">
      <c r="M74" s="137"/>
      <c r="N74" s="78"/>
    </row>
    <row r="75" spans="1:16" x14ac:dyDescent="0.3">
      <c r="M75" s="78"/>
    </row>
  </sheetData>
  <mergeCells count="15">
    <mergeCell ref="P6:P8"/>
    <mergeCell ref="A6:A8"/>
    <mergeCell ref="B6:B8"/>
    <mergeCell ref="C6:D7"/>
    <mergeCell ref="E6:F7"/>
    <mergeCell ref="G6:G8"/>
    <mergeCell ref="O6:O8"/>
    <mergeCell ref="K6:K8"/>
    <mergeCell ref="J6:J8"/>
    <mergeCell ref="H6:H8"/>
    <mergeCell ref="L6:L8"/>
    <mergeCell ref="M6:N6"/>
    <mergeCell ref="M7:M8"/>
    <mergeCell ref="N7:N8"/>
    <mergeCell ref="I6:I8"/>
  </mergeCells>
  <phoneticPr fontId="104" type="noConversion"/>
  <conditionalFormatting sqref="O10:P64 O66:P72">
    <cfRule type="cellIs" dxfId="6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08B4-C398-4F03-813A-1EA0C5A4F16D}">
  <dimension ref="A1:G38"/>
  <sheetViews>
    <sheetView topLeftCell="A16" workbookViewId="0">
      <selection activeCell="D49" sqref="D49"/>
    </sheetView>
  </sheetViews>
  <sheetFormatPr defaultRowHeight="12.75" x14ac:dyDescent="0.2"/>
  <cols>
    <col min="1" max="1" width="24.140625" customWidth="1"/>
    <col min="2" max="2" width="19" customWidth="1"/>
    <col min="3" max="3" width="18.85546875" customWidth="1"/>
    <col min="4" max="5" width="16.28515625" customWidth="1"/>
    <col min="6" max="6" width="14.85546875" customWidth="1"/>
    <col min="7" max="7" width="15" customWidth="1"/>
  </cols>
  <sheetData>
    <row r="1" spans="1:7" ht="36.75" customHeight="1" x14ac:dyDescent="0.2">
      <c r="A1" s="1412" t="s">
        <v>695</v>
      </c>
      <c r="B1" s="1412"/>
      <c r="C1" s="1412"/>
    </row>
    <row r="2" spans="1:7" ht="42.75" x14ac:dyDescent="0.2">
      <c r="A2" s="702" t="s">
        <v>696</v>
      </c>
      <c r="B2" s="703" t="s">
        <v>428</v>
      </c>
      <c r="C2" s="704" t="s">
        <v>697</v>
      </c>
      <c r="D2" s="704" t="s">
        <v>703</v>
      </c>
      <c r="E2" s="704" t="s">
        <v>357</v>
      </c>
      <c r="F2" s="703" t="s">
        <v>704</v>
      </c>
      <c r="G2" s="703" t="s">
        <v>133</v>
      </c>
    </row>
    <row r="3" spans="1:7" ht="15" x14ac:dyDescent="0.25">
      <c r="A3" s="690" t="s">
        <v>279</v>
      </c>
      <c r="B3" s="691">
        <v>174409</v>
      </c>
      <c r="C3" s="692">
        <v>10935338.671</v>
      </c>
      <c r="D3" s="699">
        <f>C3/B3*1000</f>
        <v>62699.394360382779</v>
      </c>
      <c r="E3" s="699">
        <f>D3/$C$20</f>
        <v>52321.326893771664</v>
      </c>
      <c r="F3" s="700">
        <f>B3/5*6</f>
        <v>209290.80000000002</v>
      </c>
      <c r="G3" s="701">
        <f>F3/$C$19</f>
        <v>1.4518432261710317E-3</v>
      </c>
    </row>
    <row r="4" spans="1:7" ht="15" x14ac:dyDescent="0.25">
      <c r="A4" s="693" t="s">
        <v>698</v>
      </c>
      <c r="B4" s="694">
        <v>48645</v>
      </c>
      <c r="C4" s="695">
        <v>4648578.7699999996</v>
      </c>
      <c r="D4" s="699">
        <f t="shared" ref="D4:D13" si="0">C4/B4*1000</f>
        <v>95561.286257580417</v>
      </c>
      <c r="E4" s="699">
        <f>D4/$C$20</f>
        <v>79743.88505148601</v>
      </c>
      <c r="F4" s="700">
        <f>B4/5*6</f>
        <v>58374</v>
      </c>
      <c r="G4" s="701">
        <f>F4/$C$19</f>
        <v>4.0493847070443521E-4</v>
      </c>
    </row>
    <row r="5" spans="1:7" ht="15" x14ac:dyDescent="0.25">
      <c r="A5" s="693" t="s">
        <v>699</v>
      </c>
      <c r="B5" s="694">
        <v>4835</v>
      </c>
      <c r="C5" s="695">
        <v>646924.43400000001</v>
      </c>
      <c r="D5" s="699">
        <f t="shared" si="0"/>
        <v>133800.29658738367</v>
      </c>
      <c r="E5" s="699">
        <f>D5/$C$20</f>
        <v>111653.53553487439</v>
      </c>
      <c r="F5" s="700">
        <f>B5/5*6</f>
        <v>5802</v>
      </c>
      <c r="G5" s="701">
        <f>F5/$C$19</f>
        <v>4.0248278463479168E-5</v>
      </c>
    </row>
    <row r="6" spans="1:7" ht="15" x14ac:dyDescent="0.25">
      <c r="A6" s="693" t="s">
        <v>705</v>
      </c>
      <c r="B6" s="694">
        <f>B3-B4-B5</f>
        <v>120929</v>
      </c>
      <c r="C6" s="694">
        <f>C3-C4-C5</f>
        <v>5639835.4670000002</v>
      </c>
      <c r="D6" s="699">
        <f t="shared" si="0"/>
        <v>46637.576321643282</v>
      </c>
      <c r="E6" s="699">
        <f>D6/$C$20</f>
        <v>38918.077298044031</v>
      </c>
      <c r="F6" s="700">
        <f>B6/5*6</f>
        <v>145114.79999999999</v>
      </c>
      <c r="G6" s="701">
        <f>F6/$C$19</f>
        <v>1.0066564770031172E-3</v>
      </c>
    </row>
    <row r="7" spans="1:7" ht="15" x14ac:dyDescent="0.25">
      <c r="A7" s="690" t="s">
        <v>700</v>
      </c>
      <c r="B7" s="691">
        <v>5597</v>
      </c>
      <c r="C7" s="692">
        <v>210265.25200000001</v>
      </c>
      <c r="D7" s="699">
        <f t="shared" si="0"/>
        <v>37567.49187064499</v>
      </c>
      <c r="E7" s="699">
        <f>D7/$C$20</f>
        <v>31349.282441954456</v>
      </c>
      <c r="F7" s="700">
        <f>B7/5*6</f>
        <v>6716.4000000000005</v>
      </c>
      <c r="G7" s="701">
        <f>F7/$C$19</f>
        <v>4.6591440446761719E-5</v>
      </c>
    </row>
    <row r="8" spans="1:7" ht="15" x14ac:dyDescent="0.25">
      <c r="A8" s="693"/>
      <c r="B8" s="696"/>
      <c r="C8" s="697"/>
      <c r="D8" s="699"/>
      <c r="E8" s="699"/>
      <c r="F8" s="700"/>
      <c r="G8" s="701"/>
    </row>
    <row r="9" spans="1:7" ht="15" x14ac:dyDescent="0.25">
      <c r="A9" s="690" t="s">
        <v>277</v>
      </c>
      <c r="B9" s="691">
        <v>720800</v>
      </c>
      <c r="C9" s="692">
        <v>72568090.469999999</v>
      </c>
      <c r="D9" s="699">
        <f t="shared" si="0"/>
        <v>100677.15104051054</v>
      </c>
      <c r="E9" s="699">
        <f>D9/$C$20</f>
        <v>84012.966697052121</v>
      </c>
      <c r="F9" s="700">
        <f>B9/5*6</f>
        <v>864960</v>
      </c>
      <c r="G9" s="701">
        <f>F9/$C$19</f>
        <v>6.0001983694882698E-3</v>
      </c>
    </row>
    <row r="10" spans="1:7" ht="15" x14ac:dyDescent="0.25">
      <c r="A10" s="693" t="s">
        <v>698</v>
      </c>
      <c r="B10" s="694">
        <v>93348</v>
      </c>
      <c r="C10" s="695">
        <v>12787072.43</v>
      </c>
      <c r="D10" s="699">
        <f t="shared" si="0"/>
        <v>136982.82159232121</v>
      </c>
      <c r="E10" s="699">
        <f>D10/$C$20</f>
        <v>114309.28576706728</v>
      </c>
      <c r="F10" s="700">
        <f>B10/5*6</f>
        <v>112017.59999999999</v>
      </c>
      <c r="G10" s="701">
        <f>F10/$C$19</f>
        <v>7.7706231603078663E-4</v>
      </c>
    </row>
    <row r="11" spans="1:7" ht="15" x14ac:dyDescent="0.25">
      <c r="A11" s="693" t="s">
        <v>705</v>
      </c>
      <c r="B11" s="694">
        <f>B9-B10</f>
        <v>627452</v>
      </c>
      <c r="C11" s="694">
        <f>C9-C10</f>
        <v>59781018.039999999</v>
      </c>
      <c r="D11" s="699">
        <f t="shared" si="0"/>
        <v>95275.842678005647</v>
      </c>
      <c r="E11" s="699">
        <f>D11/$C$20</f>
        <v>79505.688383256362</v>
      </c>
      <c r="F11" s="700">
        <f>B11/5*6</f>
        <v>752942.39999999991</v>
      </c>
      <c r="G11" s="701">
        <f>F11/$C$19</f>
        <v>5.223136053457483E-3</v>
      </c>
    </row>
    <row r="12" spans="1:7" ht="15" x14ac:dyDescent="0.25">
      <c r="A12" s="690" t="s">
        <v>701</v>
      </c>
      <c r="B12" s="691">
        <v>61614</v>
      </c>
      <c r="C12" s="692">
        <v>7231796.0619999999</v>
      </c>
      <c r="D12" s="699">
        <f t="shared" si="0"/>
        <v>117372.61112734118</v>
      </c>
      <c r="E12" s="699">
        <f>D12/$C$20</f>
        <v>97944.977265194553</v>
      </c>
      <c r="F12" s="700">
        <f>B12/5*6</f>
        <v>73936.799999999988</v>
      </c>
      <c r="G12" s="701">
        <f>F12/$C$19</f>
        <v>5.1289708981361011E-4</v>
      </c>
    </row>
    <row r="13" spans="1:7" ht="15" x14ac:dyDescent="0.25">
      <c r="A13" s="698" t="s">
        <v>702</v>
      </c>
      <c r="B13" s="696">
        <f>B9+B3+B7+B12</f>
        <v>962420</v>
      </c>
      <c r="C13" s="697">
        <f>C9+C3+C7+C12</f>
        <v>90945490.455000013</v>
      </c>
      <c r="D13" s="699">
        <f t="shared" si="0"/>
        <v>94496.675521082274</v>
      </c>
      <c r="E13" s="699">
        <f>D13/$C$20</f>
        <v>78855.48976589879</v>
      </c>
      <c r="F13" s="700">
        <f>B13/5*6</f>
        <v>1154904</v>
      </c>
      <c r="G13" s="701">
        <f>F13/$C$19</f>
        <v>8.0115301259196733E-3</v>
      </c>
    </row>
    <row r="19" spans="1:6" x14ac:dyDescent="0.2">
      <c r="A19" t="s">
        <v>355</v>
      </c>
      <c r="C19" s="82">
        <f>'[1]СВОД и Численность'!J2</f>
        <v>144155234</v>
      </c>
    </row>
    <row r="20" spans="1:6" x14ac:dyDescent="0.2">
      <c r="A20" t="s">
        <v>356</v>
      </c>
      <c r="C20">
        <f>'[1]СВОД и Численность'!J4</f>
        <v>1.1983525281704299</v>
      </c>
    </row>
    <row r="22" spans="1:6" ht="38.25" customHeight="1" x14ac:dyDescent="0.2">
      <c r="A22" s="1412" t="s">
        <v>715</v>
      </c>
      <c r="B22" s="1412"/>
      <c r="C22" s="1412"/>
    </row>
    <row r="23" spans="1:6" ht="30" x14ac:dyDescent="0.2">
      <c r="A23" s="726" t="s">
        <v>696</v>
      </c>
      <c r="B23" s="727" t="s">
        <v>428</v>
      </c>
      <c r="C23" s="728" t="s">
        <v>697</v>
      </c>
      <c r="D23" s="704" t="s">
        <v>703</v>
      </c>
      <c r="E23" s="704" t="s">
        <v>357</v>
      </c>
      <c r="F23" s="703" t="s">
        <v>133</v>
      </c>
    </row>
    <row r="24" spans="1:6" ht="15" x14ac:dyDescent="0.25">
      <c r="A24" s="690" t="s">
        <v>279</v>
      </c>
      <c r="B24" s="691">
        <v>382307</v>
      </c>
      <c r="C24" s="692">
        <v>24253288.777779978</v>
      </c>
      <c r="D24" s="699">
        <f>C24/B24*1000</f>
        <v>63439.300817876676</v>
      </c>
      <c r="E24" s="699">
        <f>D24/$C$38</f>
        <v>52810.04531794809</v>
      </c>
      <c r="F24" s="701">
        <f>B24/$C$37</f>
        <v>2.635408976894787E-3</v>
      </c>
    </row>
    <row r="25" spans="1:6" ht="15" x14ac:dyDescent="0.25">
      <c r="A25" s="693" t="s">
        <v>698</v>
      </c>
      <c r="B25" s="694">
        <v>106133</v>
      </c>
      <c r="C25" s="695">
        <v>11714597.613460001</v>
      </c>
      <c r="D25" s="699">
        <f t="shared" ref="D25:D28" si="1">C25/B25*1000</f>
        <v>110376.58045527781</v>
      </c>
      <c r="E25" s="699">
        <f t="shared" ref="E25:E34" si="2">D25/$C$38</f>
        <v>91882.983272741272</v>
      </c>
      <c r="F25" s="701">
        <f t="shared" ref="F25:F34" si="3">B25/$C$37</f>
        <v>7.3162108186555417E-4</v>
      </c>
    </row>
    <row r="26" spans="1:6" ht="15" x14ac:dyDescent="0.25">
      <c r="A26" s="693" t="s">
        <v>699</v>
      </c>
      <c r="B26" s="694">
        <v>11397</v>
      </c>
      <c r="C26" s="695">
        <v>1463805.2166199998</v>
      </c>
      <c r="D26" s="699">
        <f t="shared" si="1"/>
        <v>128437.76578222337</v>
      </c>
      <c r="E26" s="699">
        <f t="shared" si="2"/>
        <v>106918.0168137017</v>
      </c>
      <c r="F26" s="701">
        <f t="shared" si="3"/>
        <v>7.856449426683238E-5</v>
      </c>
    </row>
    <row r="27" spans="1:6" ht="15" x14ac:dyDescent="0.25">
      <c r="A27" s="693" t="s">
        <v>705</v>
      </c>
      <c r="B27" s="694">
        <f>B24-B25-B26</f>
        <v>264777</v>
      </c>
      <c r="C27" s="695">
        <f>C24-C25-C26</f>
        <v>11074885.947699977</v>
      </c>
      <c r="D27" s="699">
        <f t="shared" si="1"/>
        <v>41827.220444751532</v>
      </c>
      <c r="E27" s="699">
        <f t="shared" si="2"/>
        <v>34819.069232060072</v>
      </c>
      <c r="F27" s="701">
        <f t="shared" si="3"/>
        <v>1.8252234007624002E-3</v>
      </c>
    </row>
    <row r="28" spans="1:6" ht="15" x14ac:dyDescent="0.25">
      <c r="A28" s="690" t="s">
        <v>700</v>
      </c>
      <c r="B28" s="691">
        <v>14140</v>
      </c>
      <c r="C28" s="692">
        <v>494491.68287000002</v>
      </c>
      <c r="D28" s="699">
        <f t="shared" si="1"/>
        <v>34971.123258132953</v>
      </c>
      <c r="E28" s="699">
        <f t="shared" si="2"/>
        <v>29111.711199079436</v>
      </c>
      <c r="F28" s="701">
        <f t="shared" si="3"/>
        <v>9.7473190219620051E-5</v>
      </c>
    </row>
    <row r="29" spans="1:6" ht="15" x14ac:dyDescent="0.25">
      <c r="A29" s="693"/>
      <c r="B29" s="696"/>
      <c r="C29" s="697"/>
      <c r="D29" s="699"/>
      <c r="E29" s="699"/>
      <c r="F29" s="701"/>
    </row>
    <row r="30" spans="1:6" ht="15" x14ac:dyDescent="0.25">
      <c r="A30" s="690" t="s">
        <v>277</v>
      </c>
      <c r="B30" s="691">
        <v>1659007</v>
      </c>
      <c r="C30" s="692">
        <v>149645509.18262026</v>
      </c>
      <c r="D30" s="699">
        <f t="shared" ref="D30:D34" si="4">C30/B30*1000</f>
        <v>90201.855195680459</v>
      </c>
      <c r="E30" s="699">
        <f t="shared" si="2"/>
        <v>75088.533436430036</v>
      </c>
      <c r="F30" s="701">
        <f t="shared" si="3"/>
        <v>1.1436259185762462E-2</v>
      </c>
    </row>
    <row r="31" spans="1:6" ht="15" x14ac:dyDescent="0.25">
      <c r="A31" s="693" t="s">
        <v>698</v>
      </c>
      <c r="B31" s="694">
        <v>220734</v>
      </c>
      <c r="C31" s="695">
        <v>29208983.773869999</v>
      </c>
      <c r="D31" s="699">
        <f t="shared" si="4"/>
        <v>132326.61834547462</v>
      </c>
      <c r="E31" s="699">
        <f t="shared" si="2"/>
        <v>110155.29209026411</v>
      </c>
      <c r="F31" s="701">
        <f t="shared" si="3"/>
        <v>1.5216157828810194E-3</v>
      </c>
    </row>
    <row r="32" spans="1:6" ht="15" x14ac:dyDescent="0.25">
      <c r="A32" s="693" t="s">
        <v>705</v>
      </c>
      <c r="B32" s="694">
        <f>B30-B31</f>
        <v>1438273</v>
      </c>
      <c r="C32" s="695">
        <f>C30-C31</f>
        <v>120436525.40875027</v>
      </c>
      <c r="D32" s="699">
        <f t="shared" si="4"/>
        <v>83736.902110204581</v>
      </c>
      <c r="E32" s="699">
        <f t="shared" si="2"/>
        <v>69706.783306450961</v>
      </c>
      <c r="F32" s="701">
        <f t="shared" si="3"/>
        <v>9.9146434028814425E-3</v>
      </c>
    </row>
    <row r="33" spans="1:6" ht="15" x14ac:dyDescent="0.25">
      <c r="A33" s="690" t="s">
        <v>701</v>
      </c>
      <c r="B33" s="691">
        <v>135650</v>
      </c>
      <c r="C33" s="692">
        <v>13605866.946699999</v>
      </c>
      <c r="D33" s="699">
        <f t="shared" si="4"/>
        <v>100301.267576115</v>
      </c>
      <c r="E33" s="699">
        <f t="shared" si="2"/>
        <v>83495.789169379423</v>
      </c>
      <c r="F33" s="701">
        <f t="shared" si="3"/>
        <v>9.3509464308991945E-4</v>
      </c>
    </row>
    <row r="34" spans="1:6" ht="15" x14ac:dyDescent="0.25">
      <c r="A34" s="698" t="s">
        <v>702</v>
      </c>
      <c r="B34" s="696">
        <f>B24+B28+B30+B33</f>
        <v>2191104</v>
      </c>
      <c r="C34" s="697">
        <f>C24+C28+C30+C33</f>
        <v>187999156.58997023</v>
      </c>
      <c r="D34" s="699">
        <f t="shared" si="4"/>
        <v>85801.110577120126</v>
      </c>
      <c r="E34" s="699">
        <f t="shared" si="2"/>
        <v>71425.133623653441</v>
      </c>
      <c r="F34" s="701">
        <f t="shared" si="3"/>
        <v>1.5104235995966789E-2</v>
      </c>
    </row>
    <row r="37" spans="1:6" x14ac:dyDescent="0.2">
      <c r="A37" t="s">
        <v>716</v>
      </c>
      <c r="C37" s="82">
        <f>'[1]СВОД и Численность'!H2</f>
        <v>145065530</v>
      </c>
    </row>
    <row r="38" spans="1:6" x14ac:dyDescent="0.2">
      <c r="A38" t="s">
        <v>356</v>
      </c>
      <c r="C38">
        <f>'[1]СВОД и Численность'!H4</f>
        <v>1.2012733644884057</v>
      </c>
    </row>
  </sheetData>
  <mergeCells count="2">
    <mergeCell ref="A1:C1"/>
    <mergeCell ref="A22:C2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7F78-CCCF-4729-BCFF-8B7917989E5B}">
  <sheetPr>
    <tabColor rgb="FF92D050"/>
  </sheetPr>
  <dimension ref="A1:T23"/>
  <sheetViews>
    <sheetView view="pageBreakPreview" zoomScale="85" zoomScaleNormal="85" zoomScaleSheetLayoutView="85" workbookViewId="0">
      <selection activeCell="O12" sqref="O12"/>
    </sheetView>
  </sheetViews>
  <sheetFormatPr defaultColWidth="9.140625" defaultRowHeight="15" x14ac:dyDescent="0.25"/>
  <cols>
    <col min="1" max="1" width="19.28515625" style="532" bestFit="1" customWidth="1"/>
    <col min="2" max="2" width="14.140625" style="532" customWidth="1"/>
    <col min="3" max="3" width="8.140625" style="532" customWidth="1"/>
    <col min="4" max="5" width="12.7109375" style="532" customWidth="1"/>
    <col min="6" max="6" width="26.7109375" style="532" customWidth="1"/>
    <col min="7" max="7" width="19.140625" style="532" customWidth="1"/>
    <col min="8" max="9" width="12.7109375" style="532" customWidth="1"/>
    <col min="10" max="10" width="10.28515625" style="532" customWidth="1"/>
    <col min="11" max="11" width="11.85546875" style="532" customWidth="1"/>
    <col min="12" max="12" width="9.5703125" style="532" customWidth="1"/>
    <col min="13" max="13" width="9.7109375" style="532" bestFit="1" customWidth="1"/>
    <col min="14" max="14" width="9.140625" style="521"/>
    <col min="15" max="15" width="12.140625" style="521" customWidth="1"/>
    <col min="16" max="16" width="13.28515625" style="521" customWidth="1"/>
    <col min="17" max="18" width="11.140625" style="521" customWidth="1"/>
    <col min="19" max="19" width="12.28515625" style="521" customWidth="1"/>
    <col min="20" max="20" width="15.7109375" style="521" bestFit="1" customWidth="1"/>
    <col min="21" max="16384" width="9.140625" style="521"/>
  </cols>
  <sheetData>
    <row r="1" spans="1:20" ht="24" customHeight="1" x14ac:dyDescent="0.25">
      <c r="A1" s="1673" t="s">
        <v>553</v>
      </c>
      <c r="B1" s="1673"/>
      <c r="C1" s="1673"/>
      <c r="D1" s="1673"/>
      <c r="E1" s="1673"/>
      <c r="F1" s="1673"/>
      <c r="G1" s="1673"/>
      <c r="H1" s="1673"/>
      <c r="I1" s="1673"/>
      <c r="J1" s="1673"/>
      <c r="K1" s="1673"/>
      <c r="L1" s="1673"/>
      <c r="M1" s="1673"/>
      <c r="N1" s="1673"/>
      <c r="O1" s="1673"/>
      <c r="P1" s="1673"/>
      <c r="Q1" s="1295"/>
      <c r="R1" s="1295"/>
    </row>
    <row r="2" spans="1:20" s="524" customFormat="1" ht="24" customHeight="1" x14ac:dyDescent="0.2">
      <c r="A2" s="1674" t="s">
        <v>366</v>
      </c>
      <c r="B2" s="1674" t="s">
        <v>554</v>
      </c>
      <c r="C2" s="1674"/>
      <c r="D2" s="1674"/>
      <c r="E2" s="1675" t="s">
        <v>539</v>
      </c>
      <c r="F2" s="1675" t="s">
        <v>555</v>
      </c>
      <c r="G2" s="1676" t="s">
        <v>556</v>
      </c>
      <c r="H2" s="1676"/>
      <c r="I2" s="1676"/>
      <c r="J2" s="1674" t="s">
        <v>540</v>
      </c>
      <c r="K2" s="1674"/>
      <c r="L2" s="1676" t="s">
        <v>541</v>
      </c>
      <c r="M2" s="1676"/>
      <c r="N2" s="1675" t="s">
        <v>539</v>
      </c>
      <c r="O2" s="1677" t="s">
        <v>933</v>
      </c>
      <c r="P2" s="1677"/>
      <c r="Q2" s="1677"/>
      <c r="R2" s="1677"/>
      <c r="S2" s="1677"/>
      <c r="T2" s="1677"/>
    </row>
    <row r="3" spans="1:20" s="524" customFormat="1" ht="31.15" customHeight="1" x14ac:dyDescent="0.2">
      <c r="A3" s="1674"/>
      <c r="B3" s="522" t="s">
        <v>542</v>
      </c>
      <c r="C3" s="522" t="s">
        <v>543</v>
      </c>
      <c r="D3" s="522" t="s">
        <v>544</v>
      </c>
      <c r="E3" s="1675"/>
      <c r="F3" s="1675"/>
      <c r="G3" s="523" t="s">
        <v>542</v>
      </c>
      <c r="H3" s="523" t="s">
        <v>543</v>
      </c>
      <c r="I3" s="523" t="s">
        <v>544</v>
      </c>
      <c r="J3" s="522" t="s">
        <v>545</v>
      </c>
      <c r="K3" s="522" t="s">
        <v>371</v>
      </c>
      <c r="L3" s="523" t="s">
        <v>545</v>
      </c>
      <c r="M3" s="523" t="s">
        <v>371</v>
      </c>
      <c r="N3" s="1675"/>
      <c r="O3" s="1296" t="s">
        <v>930</v>
      </c>
      <c r="P3" s="1296" t="s">
        <v>931</v>
      </c>
      <c r="Q3" s="1296" t="s">
        <v>539</v>
      </c>
      <c r="R3" s="1298" t="s">
        <v>932</v>
      </c>
      <c r="S3" s="1298" t="s">
        <v>935</v>
      </c>
      <c r="T3" s="1298" t="s">
        <v>934</v>
      </c>
    </row>
    <row r="4" spans="1:20" x14ac:dyDescent="0.25">
      <c r="A4" s="1678" t="s">
        <v>546</v>
      </c>
      <c r="B4" s="1678"/>
      <c r="C4" s="1678"/>
      <c r="D4" s="1678"/>
      <c r="E4" s="1678"/>
      <c r="F4" s="1678"/>
      <c r="G4" s="1678"/>
      <c r="H4" s="1678"/>
      <c r="I4" s="1678"/>
      <c r="J4" s="1678"/>
      <c r="K4" s="1678"/>
      <c r="L4" s="1678"/>
      <c r="M4" s="1678"/>
      <c r="N4" s="1678"/>
      <c r="O4" s="1678"/>
      <c r="P4" s="1678"/>
      <c r="Q4" s="1678"/>
      <c r="R4" s="1678"/>
      <c r="S4" s="1678"/>
      <c r="T4" s="1678"/>
    </row>
    <row r="5" spans="1:20" x14ac:dyDescent="0.25">
      <c r="A5" s="525" t="s">
        <v>547</v>
      </c>
      <c r="B5" s="526" t="e">
        <f>#REF!</f>
        <v>#REF!</v>
      </c>
      <c r="C5" s="526">
        <v>0.65</v>
      </c>
      <c r="D5" s="526" t="e">
        <f>ROUND(B5*C5,2)</f>
        <v>#REF!</v>
      </c>
      <c r="E5" s="526" t="s">
        <v>132</v>
      </c>
      <c r="F5" s="526" t="e">
        <f>B5*$I$14*$C$14+B5*$I$15*$C$15</f>
        <v>#REF!</v>
      </c>
      <c r="G5" s="527" t="e">
        <f>#REF!</f>
        <v>#REF!</v>
      </c>
      <c r="H5" s="528">
        <v>0.65</v>
      </c>
      <c r="I5" s="527" t="e">
        <f>ROUND(G5*H5,2)</f>
        <v>#REF!</v>
      </c>
      <c r="J5" s="526" t="e">
        <f>G5-B5</f>
        <v>#REF!</v>
      </c>
      <c r="K5" s="529" t="e">
        <f>G5/B5</f>
        <v>#REF!</v>
      </c>
      <c r="L5" s="526" t="e">
        <f>I5-D5</f>
        <v>#REF!</v>
      </c>
      <c r="M5" s="529" t="e">
        <f>I5/D5</f>
        <v>#REF!</v>
      </c>
      <c r="N5" s="526" t="s">
        <v>132</v>
      </c>
      <c r="O5" s="526" t="e">
        <f>ROUND(D5*I14*C14+D5*I15*C15,2)</f>
        <v>#REF!</v>
      </c>
      <c r="P5" s="530" t="e">
        <f>ROUND(O5/G5,3)</f>
        <v>#REF!</v>
      </c>
      <c r="Q5" s="526" t="s">
        <v>132</v>
      </c>
      <c r="R5" s="526" t="e">
        <f>O5-D5</f>
        <v>#REF!</v>
      </c>
      <c r="S5" s="529" t="e">
        <f>O5/D5</f>
        <v>#REF!</v>
      </c>
      <c r="T5" s="1299" t="e">
        <f>S5-M12</f>
        <v>#REF!</v>
      </c>
    </row>
    <row r="6" spans="1:20" x14ac:dyDescent="0.25">
      <c r="A6" s="525" t="s">
        <v>365</v>
      </c>
      <c r="B6" s="526" t="e">
        <f>#REF!</f>
        <v>#REF!</v>
      </c>
      <c r="C6" s="1294" t="e">
        <f>ROUND(D5/B6,3)</f>
        <v>#REF!</v>
      </c>
      <c r="D6" s="526" t="e">
        <f>ROUND(B6*C6,2)</f>
        <v>#REF!</v>
      </c>
      <c r="E6" s="526" t="e">
        <f>D6-D5</f>
        <v>#REF!</v>
      </c>
      <c r="F6" s="526" t="e">
        <f>B6*$I$14*$C$14+B6*$I$15*$C$15</f>
        <v>#REF!</v>
      </c>
      <c r="G6" s="526" t="e">
        <f>#REF!</f>
        <v>#REF!</v>
      </c>
      <c r="H6" s="530" t="e">
        <f>ROUND(I5/G6,3)</f>
        <v>#REF!</v>
      </c>
      <c r="I6" s="526" t="e">
        <f>ROUND(G6*H6,2)</f>
        <v>#REF!</v>
      </c>
      <c r="J6" s="526" t="e">
        <f t="shared" ref="J6:J9" si="0">G6-B6</f>
        <v>#REF!</v>
      </c>
      <c r="K6" s="529" t="e">
        <f t="shared" ref="K6:K9" si="1">G6/B6</f>
        <v>#REF!</v>
      </c>
      <c r="L6" s="526" t="e">
        <f t="shared" ref="L6:L9" si="2">I6-D6</f>
        <v>#REF!</v>
      </c>
      <c r="M6" s="529" t="e">
        <f t="shared" ref="M6:M9" si="3">I6/D6</f>
        <v>#REF!</v>
      </c>
      <c r="N6" s="526" t="e">
        <f>I6-I5</f>
        <v>#REF!</v>
      </c>
      <c r="O6" s="526" t="e">
        <f>ROUND(P6*G6,2)</f>
        <v>#REF!</v>
      </c>
      <c r="P6" s="1297" t="e">
        <f>ROUND(O5/G6,7)</f>
        <v>#REF!</v>
      </c>
      <c r="Q6" s="526" t="e">
        <f>L6-L5</f>
        <v>#REF!</v>
      </c>
      <c r="R6" s="526" t="e">
        <f>O6-D6</f>
        <v>#REF!</v>
      </c>
      <c r="S6" s="529" t="e">
        <f>O6/D6</f>
        <v>#REF!</v>
      </c>
      <c r="T6" s="1299" t="e">
        <f>S6-M12</f>
        <v>#REF!</v>
      </c>
    </row>
    <row r="7" spans="1:20" x14ac:dyDescent="0.25">
      <c r="A7" s="1678" t="s">
        <v>548</v>
      </c>
      <c r="B7" s="1678"/>
      <c r="C7" s="1678"/>
      <c r="D7" s="1678"/>
      <c r="E7" s="1678"/>
      <c r="F7" s="1678"/>
      <c r="G7" s="1678"/>
      <c r="H7" s="1678"/>
      <c r="I7" s="1678"/>
      <c r="J7" s="1678"/>
      <c r="K7" s="1678"/>
      <c r="L7" s="1678"/>
      <c r="M7" s="1678"/>
      <c r="N7" s="1678"/>
      <c r="O7" s="1678"/>
      <c r="P7" s="1678"/>
      <c r="Q7" s="1678"/>
      <c r="R7" s="1678"/>
      <c r="S7" s="1678"/>
      <c r="T7" s="1678"/>
    </row>
    <row r="8" spans="1:20" x14ac:dyDescent="0.25">
      <c r="A8" s="525" t="s">
        <v>547</v>
      </c>
      <c r="B8" s="526" t="e">
        <f>#REF!</f>
        <v>#REF!</v>
      </c>
      <c r="C8" s="526">
        <v>0.6</v>
      </c>
      <c r="D8" s="526" t="e">
        <f>ROUND(B8*C8,2)</f>
        <v>#REF!</v>
      </c>
      <c r="E8" s="526" t="s">
        <v>132</v>
      </c>
      <c r="F8" s="526" t="e">
        <f>B8*$K$14*$C$14+B8*$K$15*$C$15</f>
        <v>#REF!</v>
      </c>
      <c r="G8" s="527" t="e">
        <f>#REF!</f>
        <v>#REF!</v>
      </c>
      <c r="H8" s="528">
        <v>0.6</v>
      </c>
      <c r="I8" s="527" t="e">
        <f>ROUND(G8*H8,2)</f>
        <v>#REF!</v>
      </c>
      <c r="J8" s="526" t="e">
        <f t="shared" si="0"/>
        <v>#REF!</v>
      </c>
      <c r="K8" s="529" t="e">
        <f t="shared" si="1"/>
        <v>#REF!</v>
      </c>
      <c r="L8" s="526" t="e">
        <f t="shared" si="2"/>
        <v>#REF!</v>
      </c>
      <c r="M8" s="529" t="e">
        <f t="shared" si="3"/>
        <v>#REF!</v>
      </c>
      <c r="N8" s="526" t="s">
        <v>132</v>
      </c>
      <c r="O8" s="526" t="e">
        <f>ROUND(D8*K14*C14+D8*K15*C15,2)</f>
        <v>#REF!</v>
      </c>
      <c r="P8" s="530" t="e">
        <f>ROUND(O8/G8,3)</f>
        <v>#REF!</v>
      </c>
      <c r="Q8" s="526" t="s">
        <v>132</v>
      </c>
      <c r="R8" s="526" t="e">
        <f>O8-D8</f>
        <v>#REF!</v>
      </c>
      <c r="S8" s="529" t="e">
        <f>O8/D8</f>
        <v>#REF!</v>
      </c>
      <c r="T8" s="1299" t="e">
        <f>S8-M13</f>
        <v>#REF!</v>
      </c>
    </row>
    <row r="9" spans="1:20" x14ac:dyDescent="0.25">
      <c r="A9" s="525" t="s">
        <v>365</v>
      </c>
      <c r="B9" s="526" t="e">
        <f>#REF!</f>
        <v>#REF!</v>
      </c>
      <c r="C9" s="1294" t="e">
        <f>ROUND(D8/B9,3)</f>
        <v>#REF!</v>
      </c>
      <c r="D9" s="526" t="e">
        <f>ROUND(B9*C9,2)</f>
        <v>#REF!</v>
      </c>
      <c r="E9" s="526" t="e">
        <f>D9-D8</f>
        <v>#REF!</v>
      </c>
      <c r="F9" s="526" t="e">
        <f>B9*$K$14*$C$14+B9*$K$15*$C$15</f>
        <v>#REF!</v>
      </c>
      <c r="G9" s="526" t="e">
        <f>#REF!</f>
        <v>#REF!</v>
      </c>
      <c r="H9" s="530" t="e">
        <f>ROUND(I8/G9,3)</f>
        <v>#REF!</v>
      </c>
      <c r="I9" s="526" t="e">
        <f>ROUND(G9*H9,2)</f>
        <v>#REF!</v>
      </c>
      <c r="J9" s="526" t="e">
        <f t="shared" si="0"/>
        <v>#REF!</v>
      </c>
      <c r="K9" s="529" t="e">
        <f t="shared" si="1"/>
        <v>#REF!</v>
      </c>
      <c r="L9" s="526" t="e">
        <f t="shared" si="2"/>
        <v>#REF!</v>
      </c>
      <c r="M9" s="529" t="e">
        <f t="shared" si="3"/>
        <v>#REF!</v>
      </c>
      <c r="N9" s="526" t="e">
        <f>I9-I8</f>
        <v>#REF!</v>
      </c>
      <c r="O9" s="526" t="e">
        <f>ROUND(P9*G9,2)</f>
        <v>#REF!</v>
      </c>
      <c r="P9" s="1297" t="e">
        <f>ROUND(O8/G9,7)</f>
        <v>#REF!</v>
      </c>
      <c r="Q9" s="526" t="e">
        <f>L9-L8</f>
        <v>#REF!</v>
      </c>
      <c r="R9" s="526" t="e">
        <f>O9-D9</f>
        <v>#REF!</v>
      </c>
      <c r="S9" s="529" t="e">
        <f>O9/D9</f>
        <v>#REF!</v>
      </c>
      <c r="T9" s="1299" t="e">
        <f>S9-M13</f>
        <v>#REF!</v>
      </c>
    </row>
    <row r="10" spans="1:20" ht="18.75" x14ac:dyDescent="0.3">
      <c r="A10" s="1680" t="s">
        <v>549</v>
      </c>
      <c r="B10" s="1680"/>
      <c r="C10" s="1680"/>
      <c r="D10" s="1680"/>
      <c r="E10" s="1680"/>
      <c r="F10" s="1680"/>
      <c r="G10" s="1680"/>
      <c r="H10" s="1680"/>
      <c r="I10" s="1680"/>
      <c r="J10" s="1680"/>
      <c r="K10" s="1680"/>
      <c r="L10" s="1681"/>
      <c r="M10" s="1681"/>
      <c r="N10" s="1681"/>
    </row>
    <row r="11" spans="1:20" ht="72.599999999999994" customHeight="1" x14ac:dyDescent="0.25">
      <c r="B11" s="1682" t="s">
        <v>378</v>
      </c>
      <c r="C11" s="1683"/>
      <c r="D11" s="1683"/>
      <c r="E11" s="1684"/>
      <c r="F11" s="1685" t="s">
        <v>289</v>
      </c>
      <c r="G11" s="1685"/>
      <c r="H11" s="1685"/>
      <c r="I11" s="1685"/>
      <c r="J11" s="1685"/>
      <c r="K11" s="1685"/>
      <c r="L11" s="1686" t="s">
        <v>550</v>
      </c>
      <c r="M11" s="1686"/>
      <c r="N11" s="1686"/>
      <c r="O11" s="547" t="s">
        <v>551</v>
      </c>
    </row>
    <row r="12" spans="1:20" ht="60" x14ac:dyDescent="0.3">
      <c r="B12" s="533"/>
      <c r="C12" s="533">
        <v>2025</v>
      </c>
      <c r="D12" s="533">
        <v>2026</v>
      </c>
      <c r="E12" s="533">
        <v>2027</v>
      </c>
      <c r="F12" s="534" t="s">
        <v>274</v>
      </c>
      <c r="G12" s="534" t="s">
        <v>287</v>
      </c>
      <c r="H12" s="534" t="s">
        <v>276</v>
      </c>
      <c r="I12" s="534" t="s">
        <v>277</v>
      </c>
      <c r="J12" s="533" t="s">
        <v>290</v>
      </c>
      <c r="K12" s="534" t="s">
        <v>279</v>
      </c>
      <c r="L12" s="537" t="s">
        <v>277</v>
      </c>
      <c r="M12" s="538" t="e">
        <f>$I$14*$C$14+$I$15*$C$15</f>
        <v>#REF!</v>
      </c>
      <c r="N12" s="531"/>
      <c r="O12" s="548" t="e">
        <f>M5/M12-1</f>
        <v>#REF!</v>
      </c>
      <c r="T12" s="536"/>
    </row>
    <row r="13" spans="1:20" ht="18.75" x14ac:dyDescent="0.3">
      <c r="B13" s="533"/>
      <c r="C13" s="533"/>
      <c r="D13" s="533"/>
      <c r="E13" s="533"/>
      <c r="F13" s="534"/>
      <c r="G13" s="534"/>
      <c r="H13" s="534"/>
      <c r="I13" s="534"/>
      <c r="J13" s="533"/>
      <c r="K13" s="534"/>
      <c r="L13" s="537" t="s">
        <v>279</v>
      </c>
      <c r="M13" s="538" t="e">
        <f>$K$14*$C$14+$K$15*$C$15</f>
        <v>#REF!</v>
      </c>
      <c r="N13" s="531"/>
      <c r="O13" s="548" t="e">
        <f>M8/M13-1</f>
        <v>#REF!</v>
      </c>
      <c r="T13" s="536"/>
    </row>
    <row r="14" spans="1:20" ht="30" x14ac:dyDescent="0.3">
      <c r="B14" s="533" t="s">
        <v>285</v>
      </c>
      <c r="C14" s="539" t="e">
        <f>#REF!</f>
        <v>#REF!</v>
      </c>
      <c r="D14" s="539" t="e">
        <f>#REF!</f>
        <v>#REF!</v>
      </c>
      <c r="E14" s="539" t="e">
        <f>#REF!</f>
        <v>#REF!</v>
      </c>
      <c r="F14" s="540" t="e">
        <f>#REF!</f>
        <v>#REF!</v>
      </c>
      <c r="G14" s="540" t="e">
        <f>#REF!</f>
        <v>#REF!</v>
      </c>
      <c r="H14" s="540" t="e">
        <f>#REF!</f>
        <v>#REF!</v>
      </c>
      <c r="I14" s="540" t="e">
        <f>#REF!</f>
        <v>#REF!</v>
      </c>
      <c r="J14" s="540" t="e">
        <f>#REF!</f>
        <v>#REF!</v>
      </c>
      <c r="K14" s="540" t="e">
        <f>#REF!</f>
        <v>#REF!</v>
      </c>
      <c r="L14" s="535"/>
      <c r="M14" s="535"/>
      <c r="N14" s="535"/>
    </row>
    <row r="15" spans="1:20" ht="18.75" x14ac:dyDescent="0.3">
      <c r="B15" s="533" t="s">
        <v>286</v>
      </c>
      <c r="C15" s="539" t="e">
        <f>#REF!</f>
        <v>#REF!</v>
      </c>
      <c r="D15" s="539" t="e">
        <f>#REF!</f>
        <v>#REF!</v>
      </c>
      <c r="E15" s="539" t="e">
        <f>#REF!</f>
        <v>#REF!</v>
      </c>
      <c r="F15" s="540" t="e">
        <f>#REF!</f>
        <v>#REF!</v>
      </c>
      <c r="G15" s="540" t="e">
        <f>#REF!</f>
        <v>#REF!</v>
      </c>
      <c r="H15" s="540" t="e">
        <f>#REF!</f>
        <v>#REF!</v>
      </c>
      <c r="I15" s="540" t="e">
        <f>#REF!</f>
        <v>#REF!</v>
      </c>
      <c r="J15" s="540" t="e">
        <f>#REF!</f>
        <v>#REF!</v>
      </c>
      <c r="K15" s="540" t="e">
        <f>#REF!</f>
        <v>#REF!</v>
      </c>
      <c r="L15" s="535"/>
      <c r="M15" s="535"/>
      <c r="N15" s="535"/>
    </row>
    <row r="16" spans="1:20" ht="28.9" customHeight="1" x14ac:dyDescent="0.25">
      <c r="A16" s="1679" t="s">
        <v>552</v>
      </c>
      <c r="B16" s="1679"/>
      <c r="C16" s="1679"/>
      <c r="D16" s="1679"/>
      <c r="E16" s="1679"/>
      <c r="F16" s="1679"/>
      <c r="G16" s="1679"/>
      <c r="H16" s="1679"/>
      <c r="I16" s="1679"/>
      <c r="J16" s="1679"/>
      <c r="K16" s="1679"/>
      <c r="L16" s="541"/>
      <c r="M16" s="541"/>
      <c r="N16" s="541"/>
    </row>
    <row r="17" spans="19:19" x14ac:dyDescent="0.25">
      <c r="S17" s="536"/>
    </row>
    <row r="18" spans="19:19" x14ac:dyDescent="0.25">
      <c r="S18" s="536"/>
    </row>
    <row r="19" spans="19:19" x14ac:dyDescent="0.25">
      <c r="S19" s="536"/>
    </row>
    <row r="20" spans="19:19" x14ac:dyDescent="0.25">
      <c r="S20" s="536"/>
    </row>
    <row r="21" spans="19:19" x14ac:dyDescent="0.25">
      <c r="S21" s="536"/>
    </row>
    <row r="22" spans="19:19" x14ac:dyDescent="0.25">
      <c r="S22" s="536"/>
    </row>
    <row r="23" spans="19:19" x14ac:dyDescent="0.25">
      <c r="S23" s="536"/>
    </row>
  </sheetData>
  <mergeCells count="17">
    <mergeCell ref="A4:T4"/>
    <mergeCell ref="A7:T7"/>
    <mergeCell ref="A16:K16"/>
    <mergeCell ref="A10:N10"/>
    <mergeCell ref="B11:E11"/>
    <mergeCell ref="F11:K11"/>
    <mergeCell ref="L11:N11"/>
    <mergeCell ref="A1:P1"/>
    <mergeCell ref="A2:A3"/>
    <mergeCell ref="B2:D2"/>
    <mergeCell ref="E2:E3"/>
    <mergeCell ref="F2:F3"/>
    <mergeCell ref="G2:I2"/>
    <mergeCell ref="J2:K2"/>
    <mergeCell ref="L2:M2"/>
    <mergeCell ref="N2:N3"/>
    <mergeCell ref="O2:T2"/>
  </mergeCells>
  <conditionalFormatting sqref="O12:O13">
    <cfRule type="cellIs" dxfId="5" priority="1" operator="lessThan">
      <formula>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55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446C-2056-4346-A17B-A45A7DC24FCB}">
  <dimension ref="A1:W52"/>
  <sheetViews>
    <sheetView topLeftCell="A7" zoomScale="60" zoomScaleNormal="60" workbookViewId="0">
      <selection activeCell="M6" sqref="M6:M8"/>
    </sheetView>
  </sheetViews>
  <sheetFormatPr defaultRowHeight="12.75" x14ac:dyDescent="0.2"/>
  <cols>
    <col min="1" max="1" width="47.85546875" customWidth="1"/>
    <col min="2" max="4" width="25.85546875" customWidth="1"/>
    <col min="5" max="5" width="34.85546875" customWidth="1"/>
    <col min="6" max="6" width="35.7109375" customWidth="1"/>
    <col min="7" max="7" width="28.42578125" customWidth="1"/>
    <col min="8" max="8" width="16.7109375" customWidth="1"/>
    <col min="9" max="15" width="20.28515625" customWidth="1"/>
    <col min="16" max="24" width="12.7109375" customWidth="1"/>
  </cols>
  <sheetData>
    <row r="1" spans="1:23" ht="49.5" customHeight="1" x14ac:dyDescent="0.2">
      <c r="A1" s="1691" t="s">
        <v>83</v>
      </c>
      <c r="B1" s="1693" t="s">
        <v>84</v>
      </c>
      <c r="C1" s="1694" t="s">
        <v>663</v>
      </c>
      <c r="D1" s="1715" t="s">
        <v>768</v>
      </c>
      <c r="E1" s="1697" t="s">
        <v>756</v>
      </c>
      <c r="F1" s="1700" t="s">
        <v>767</v>
      </c>
      <c r="G1" s="1689" t="s">
        <v>757</v>
      </c>
      <c r="I1" s="1697" t="s">
        <v>758</v>
      </c>
      <c r="J1" s="1700" t="s">
        <v>759</v>
      </c>
      <c r="K1" s="1689" t="s">
        <v>760</v>
      </c>
      <c r="M1" s="1697" t="s">
        <v>761</v>
      </c>
      <c r="N1" s="1700" t="s">
        <v>763</v>
      </c>
      <c r="O1" s="1689" t="s">
        <v>762</v>
      </c>
    </row>
    <row r="2" spans="1:23" s="75" customFormat="1" ht="22.5" customHeight="1" x14ac:dyDescent="0.25">
      <c r="A2" s="1692"/>
      <c r="B2" s="1416"/>
      <c r="C2" s="1695"/>
      <c r="D2" s="1716"/>
      <c r="E2" s="1698"/>
      <c r="F2" s="1701"/>
      <c r="G2" s="1690"/>
      <c r="H2" s="648"/>
      <c r="I2" s="1698"/>
      <c r="J2" s="1701"/>
      <c r="K2" s="1690"/>
      <c r="L2" s="647"/>
      <c r="M2" s="1698"/>
      <c r="N2" s="1701"/>
      <c r="O2" s="1690"/>
    </row>
    <row r="3" spans="1:23" s="74" customFormat="1" ht="22.5" customHeight="1" x14ac:dyDescent="0.25">
      <c r="A3" s="1692"/>
      <c r="B3" s="1416"/>
      <c r="C3" s="1696"/>
      <c r="D3" s="1717"/>
      <c r="E3" s="1699"/>
      <c r="F3" s="1702"/>
      <c r="G3" s="1690"/>
      <c r="H3" s="415"/>
      <c r="I3" s="1699"/>
      <c r="J3" s="1702"/>
      <c r="K3" s="1690"/>
      <c r="L3" s="154"/>
      <c r="M3" s="1699"/>
      <c r="N3" s="1702"/>
      <c r="O3" s="1690"/>
    </row>
    <row r="4" spans="1:23" s="74" customFormat="1" ht="46.5" customHeight="1" x14ac:dyDescent="0.25">
      <c r="A4" s="767" t="s">
        <v>444</v>
      </c>
      <c r="B4" s="768" t="s">
        <v>15</v>
      </c>
      <c r="C4" s="769">
        <v>37730614.326223999</v>
      </c>
      <c r="D4" s="779" t="e">
        <f>#REF!</f>
        <v>#REF!</v>
      </c>
      <c r="E4" s="787" t="e">
        <f>+E5+E6+E7+E8</f>
        <v>#REF!</v>
      </c>
      <c r="F4" s="771" t="e">
        <f>+F5+F6+F7+F8</f>
        <v>#REF!</v>
      </c>
      <c r="G4" s="782" t="e">
        <f>ROUND((G5*F5+G6*F6+G7*F7+G8*F8)/F4,1)</f>
        <v>#REF!</v>
      </c>
      <c r="H4" s="773"/>
      <c r="I4" s="770" t="e">
        <f>SUM(I5:I8)</f>
        <v>#REF!</v>
      </c>
      <c r="J4" s="771" t="e">
        <f>F4</f>
        <v>#REF!</v>
      </c>
      <c r="K4" s="772" t="e">
        <f>(K5*J5+K6*J6+K7*J7+K8*J8)/J4</f>
        <v>#REF!</v>
      </c>
      <c r="L4" s="774"/>
      <c r="M4" s="770" t="e">
        <f>SUM(M5:M8)</f>
        <v>#REF!</v>
      </c>
      <c r="N4" s="771" t="e">
        <f>J4</f>
        <v>#REF!</v>
      </c>
      <c r="O4" s="772" t="e">
        <f>(O5*N5+O6*N6+O7*N7+O8*N8)/N4</f>
        <v>#REF!</v>
      </c>
      <c r="Q4" s="74" t="e">
        <f>G4*F4</f>
        <v>#REF!</v>
      </c>
    </row>
    <row r="5" spans="1:23" s="74" customFormat="1" ht="22.5" customHeight="1" x14ac:dyDescent="0.25">
      <c r="A5" s="652" t="s">
        <v>445</v>
      </c>
      <c r="B5" s="768" t="s">
        <v>15</v>
      </c>
      <c r="C5" s="651" t="e">
        <f>#REF!</f>
        <v>#REF!</v>
      </c>
      <c r="D5" s="779" t="e">
        <f>#REF!</f>
        <v>#REF!</v>
      </c>
      <c r="E5" s="649" t="e">
        <f>+C5</f>
        <v>#REF!</v>
      </c>
      <c r="F5" s="650" t="e">
        <f>+#REF!</f>
        <v>#REF!</v>
      </c>
      <c r="G5" s="783">
        <v>3142.3</v>
      </c>
      <c r="H5" s="207" t="s">
        <v>437</v>
      </c>
      <c r="I5" s="649" t="e">
        <f>E5</f>
        <v>#REF!</v>
      </c>
      <c r="J5" s="650" t="e">
        <f t="shared" ref="J5:J8" si="0">F5</f>
        <v>#REF!</v>
      </c>
      <c r="K5" s="661">
        <v>3340.5</v>
      </c>
      <c r="L5" s="74" t="s">
        <v>380</v>
      </c>
      <c r="M5" s="649" t="e">
        <f>I5</f>
        <v>#REF!</v>
      </c>
      <c r="N5" s="650" t="e">
        <f t="shared" ref="N5:N8" si="1">J5</f>
        <v>#REF!</v>
      </c>
      <c r="O5" s="661">
        <v>3541</v>
      </c>
      <c r="P5" s="74" t="s">
        <v>380</v>
      </c>
      <c r="Q5" s="74" t="e">
        <f t="shared" ref="Q5:Q11" si="2">G5*F5</f>
        <v>#REF!</v>
      </c>
    </row>
    <row r="6" spans="1:23" s="74" customFormat="1" ht="40.5" customHeight="1" x14ac:dyDescent="0.25">
      <c r="A6" s="652" t="s">
        <v>446</v>
      </c>
      <c r="B6" s="768" t="s">
        <v>15</v>
      </c>
      <c r="C6" s="651" t="e">
        <f>#REF!</f>
        <v>#REF!</v>
      </c>
      <c r="D6" s="779" t="e">
        <f>#REF!</f>
        <v>#REF!</v>
      </c>
      <c r="E6" s="649" t="e">
        <f t="shared" ref="E6:E7" si="3">+C6</f>
        <v>#REF!</v>
      </c>
      <c r="F6" s="414" t="e">
        <f>+#REF!</f>
        <v>#REF!</v>
      </c>
      <c r="G6" s="784" t="e">
        <f>+#REF!</f>
        <v>#REF!</v>
      </c>
      <c r="H6" s="74" t="s">
        <v>380</v>
      </c>
      <c r="I6" s="649" t="e">
        <f t="shared" ref="I6:I8" si="4">E6</f>
        <v>#REF!</v>
      </c>
      <c r="J6" s="650" t="e">
        <f t="shared" si="0"/>
        <v>#REF!</v>
      </c>
      <c r="K6" s="653">
        <v>1355.2</v>
      </c>
      <c r="L6" s="74" t="s">
        <v>380</v>
      </c>
      <c r="M6" s="649" t="e">
        <f t="shared" ref="M6:M8" si="5">I6</f>
        <v>#REF!</v>
      </c>
      <c r="N6" s="414" t="e">
        <f t="shared" si="1"/>
        <v>#REF!</v>
      </c>
      <c r="O6" s="653">
        <v>1436.5</v>
      </c>
      <c r="P6" s="74" t="s">
        <v>380</v>
      </c>
      <c r="Q6" s="74" t="e">
        <f t="shared" si="2"/>
        <v>#REF!</v>
      </c>
    </row>
    <row r="7" spans="1:23" s="74" customFormat="1" ht="41.25" customHeight="1" x14ac:dyDescent="0.25">
      <c r="A7" s="652" t="s">
        <v>447</v>
      </c>
      <c r="B7" s="768" t="s">
        <v>15</v>
      </c>
      <c r="C7" s="651" t="e">
        <f>#REF!</f>
        <v>#REF!</v>
      </c>
      <c r="D7" s="779" t="e">
        <f>#REF!</f>
        <v>#REF!</v>
      </c>
      <c r="E7" s="649" t="e">
        <f t="shared" si="3"/>
        <v>#REF!</v>
      </c>
      <c r="F7" s="414" t="e">
        <f>+#REF!</f>
        <v>#REF!</v>
      </c>
      <c r="G7" s="784" t="e">
        <f>+#REF!</f>
        <v>#REF!</v>
      </c>
      <c r="H7" s="74" t="s">
        <v>380</v>
      </c>
      <c r="I7" s="649" t="e">
        <f t="shared" si="4"/>
        <v>#REF!</v>
      </c>
      <c r="J7" s="650" t="e">
        <f t="shared" si="0"/>
        <v>#REF!</v>
      </c>
      <c r="K7" s="653">
        <v>3013.5</v>
      </c>
      <c r="L7" s="74" t="s">
        <v>380</v>
      </c>
      <c r="M7" s="649" t="e">
        <f t="shared" si="5"/>
        <v>#REF!</v>
      </c>
      <c r="N7" s="414" t="e">
        <f t="shared" si="1"/>
        <v>#REF!</v>
      </c>
      <c r="O7" s="653">
        <v>3194.4</v>
      </c>
      <c r="P7" s="74" t="s">
        <v>380</v>
      </c>
      <c r="Q7" s="74" t="e">
        <f t="shared" si="2"/>
        <v>#REF!</v>
      </c>
    </row>
    <row r="8" spans="1:23" ht="21" customHeight="1" thickBot="1" x14ac:dyDescent="0.3">
      <c r="A8" s="656" t="s">
        <v>662</v>
      </c>
      <c r="B8" s="768" t="s">
        <v>15</v>
      </c>
      <c r="C8" s="657" t="e">
        <f>C4-C5-C6-C7</f>
        <v>#REF!</v>
      </c>
      <c r="D8" s="780" t="e">
        <f>D4-D5-D6-D7</f>
        <v>#REF!</v>
      </c>
      <c r="E8" s="658" t="e">
        <f>+C8</f>
        <v>#REF!</v>
      </c>
      <c r="F8" s="659" t="e">
        <f>+ROUND(E8/#REF!,6)</f>
        <v>#REF!</v>
      </c>
      <c r="G8" s="785">
        <v>1384.6</v>
      </c>
      <c r="H8" s="74" t="s">
        <v>380</v>
      </c>
      <c r="I8" s="649" t="e">
        <f t="shared" si="4"/>
        <v>#REF!</v>
      </c>
      <c r="J8" s="650" t="e">
        <f t="shared" si="0"/>
        <v>#REF!</v>
      </c>
      <c r="K8" s="660">
        <v>1471.9</v>
      </c>
      <c r="L8" t="s">
        <v>380</v>
      </c>
      <c r="M8" s="649" t="e">
        <f t="shared" si="5"/>
        <v>#REF!</v>
      </c>
      <c r="N8" s="659" t="e">
        <f t="shared" si="1"/>
        <v>#REF!</v>
      </c>
      <c r="O8" s="660">
        <v>1560.3</v>
      </c>
      <c r="P8" t="s">
        <v>380</v>
      </c>
      <c r="Q8" s="74" t="e">
        <f t="shared" si="2"/>
        <v>#REF!</v>
      </c>
    </row>
    <row r="9" spans="1:23" s="74" customFormat="1" ht="72" customHeight="1" x14ac:dyDescent="0.25">
      <c r="A9" s="767" t="s">
        <v>766</v>
      </c>
      <c r="B9" s="775"/>
      <c r="C9" s="769"/>
      <c r="D9" s="769"/>
      <c r="E9" s="776">
        <f>SUM(E10:E11)</f>
        <v>1430531</v>
      </c>
      <c r="F9" s="777">
        <f>ROUND(E9/C52,6)</f>
        <v>9.9480000000000002E-3</v>
      </c>
      <c r="G9" s="778">
        <f>ROUND((G10*F10+G11*F11)/F9,1)</f>
        <v>1051</v>
      </c>
      <c r="H9" s="774"/>
      <c r="I9" s="776">
        <f>SUM(I10:I11)</f>
        <v>2634465.3155199997</v>
      </c>
      <c r="J9" s="777">
        <f>I9/C52</f>
        <v>1.8320776120714952E-2</v>
      </c>
      <c r="K9" s="778">
        <f>ROUND((K10*J10+K11*J11)/J9,2)</f>
        <v>1125.9000000000001</v>
      </c>
      <c r="L9" s="774"/>
      <c r="M9" s="776">
        <f>SUM(M10:M11)</f>
        <v>5980142.7465375997</v>
      </c>
      <c r="N9" s="777">
        <f>M9/C52</f>
        <v>4.1587511433076998E-2</v>
      </c>
      <c r="O9" s="778">
        <f>ROUND((O10*N10+O11*N11)/N9,2)</f>
        <v>1300.3499999999999</v>
      </c>
      <c r="Q9" s="74">
        <f t="shared" si="2"/>
        <v>10.455348000000001</v>
      </c>
    </row>
    <row r="10" spans="1:23" s="74" customFormat="1" ht="21" customHeight="1" x14ac:dyDescent="0.25">
      <c r="A10" s="654" t="s">
        <v>764</v>
      </c>
      <c r="B10" s="147"/>
      <c r="C10" s="651"/>
      <c r="D10" s="651"/>
      <c r="E10" s="574">
        <f>E17</f>
        <v>94328</v>
      </c>
      <c r="F10" s="261">
        <f>+ROUND(E10/C52,6)</f>
        <v>6.5600000000000001E-4</v>
      </c>
      <c r="G10" s="786">
        <f>ROUND(E18,1)</f>
        <v>3483.8</v>
      </c>
      <c r="H10" s="154"/>
      <c r="I10" s="574">
        <f>G17</f>
        <v>141492</v>
      </c>
      <c r="J10" s="261">
        <f>I10/C52</f>
        <v>9.8397319547193743E-4</v>
      </c>
      <c r="K10" s="655">
        <f>G18</f>
        <v>3692.16</v>
      </c>
      <c r="L10" s="154"/>
      <c r="M10" s="574">
        <f>I17</f>
        <v>188656</v>
      </c>
      <c r="N10" s="261">
        <f>M10/C52</f>
        <v>1.3119642606292498E-3</v>
      </c>
      <c r="O10" s="655">
        <f>I18</f>
        <v>3917.76</v>
      </c>
      <c r="Q10" s="74">
        <f t="shared" si="2"/>
        <v>2.2853728000000002</v>
      </c>
    </row>
    <row r="11" spans="1:23" s="74" customFormat="1" ht="20.25" customHeight="1" x14ac:dyDescent="0.25">
      <c r="A11" s="654" t="s">
        <v>765</v>
      </c>
      <c r="B11" s="147"/>
      <c r="C11" s="651"/>
      <c r="D11" s="651"/>
      <c r="E11" s="574">
        <f>C17</f>
        <v>1336203</v>
      </c>
      <c r="F11" s="261">
        <f>+ROUND(E11/C52,6)</f>
        <v>9.2919999999999999E-3</v>
      </c>
      <c r="G11" s="786">
        <f>ROUND(C18,1)</f>
        <v>879.3</v>
      </c>
      <c r="H11" s="154"/>
      <c r="I11" s="574">
        <f>F17</f>
        <v>2492973.3155199997</v>
      </c>
      <c r="J11" s="261">
        <f>I11/C52</f>
        <v>1.7336802925243016E-2</v>
      </c>
      <c r="K11" s="655">
        <f>F18</f>
        <v>980.2474737</v>
      </c>
      <c r="L11" s="154"/>
      <c r="M11" s="574">
        <f>H17</f>
        <v>5791486.7465375997</v>
      </c>
      <c r="N11" s="261">
        <f>M11/C52</f>
        <v>4.0275547172447745E-2</v>
      </c>
      <c r="O11" s="655">
        <f>H18</f>
        <v>1215.086790564</v>
      </c>
      <c r="Q11" s="74">
        <f t="shared" si="2"/>
        <v>8.1704556000000004</v>
      </c>
    </row>
    <row r="15" spans="1:23" ht="20.25" x14ac:dyDescent="0.3">
      <c r="C15" s="1704">
        <v>2025</v>
      </c>
      <c r="D15" s="1704"/>
      <c r="E15" s="1704"/>
      <c r="F15" s="1704">
        <v>2026</v>
      </c>
      <c r="G15" s="1704"/>
      <c r="H15" s="1704">
        <v>2027</v>
      </c>
      <c r="I15" s="1704"/>
      <c r="K15" s="156"/>
      <c r="L15" s="237" t="s">
        <v>378</v>
      </c>
      <c r="M15" s="237"/>
      <c r="N15" s="237"/>
      <c r="O15" s="1504" t="s">
        <v>707</v>
      </c>
      <c r="P15" s="1504"/>
      <c r="Q15" s="1504"/>
      <c r="R15" s="1504"/>
      <c r="S15" s="1504"/>
      <c r="T15" s="1504"/>
      <c r="U15" s="74"/>
      <c r="V15" s="74"/>
      <c r="W15" s="74"/>
    </row>
    <row r="16" spans="1:23" ht="18" customHeight="1" x14ac:dyDescent="0.2">
      <c r="C16" s="766" t="s">
        <v>737</v>
      </c>
      <c r="D16" s="766"/>
      <c r="E16" s="766" t="s">
        <v>738</v>
      </c>
      <c r="F16" s="766" t="s">
        <v>737</v>
      </c>
      <c r="G16" s="766" t="s">
        <v>738</v>
      </c>
      <c r="H16" s="766" t="s">
        <v>737</v>
      </c>
      <c r="I16" s="766" t="s">
        <v>738</v>
      </c>
      <c r="K16" s="155"/>
      <c r="L16" s="705">
        <v>2025</v>
      </c>
      <c r="M16" s="705">
        <v>2026</v>
      </c>
      <c r="N16" s="705">
        <v>2027</v>
      </c>
      <c r="O16" s="549" t="s">
        <v>274</v>
      </c>
      <c r="P16" s="549" t="s">
        <v>287</v>
      </c>
      <c r="Q16" s="549" t="s">
        <v>288</v>
      </c>
      <c r="R16" s="549" t="s">
        <v>277</v>
      </c>
      <c r="S16" s="550" t="s">
        <v>290</v>
      </c>
      <c r="T16" s="549" t="s">
        <v>279</v>
      </c>
      <c r="U16" s="549" t="s">
        <v>692</v>
      </c>
      <c r="V16" s="549" t="s">
        <v>693</v>
      </c>
      <c r="W16" s="549" t="s">
        <v>714</v>
      </c>
    </row>
    <row r="17" spans="1:23" ht="49.5" customHeight="1" x14ac:dyDescent="0.25">
      <c r="A17" s="1708" t="s">
        <v>689</v>
      </c>
      <c r="B17" s="675" t="s">
        <v>690</v>
      </c>
      <c r="C17" s="765">
        <f>C33*1000</f>
        <v>1336203</v>
      </c>
      <c r="D17" s="765"/>
      <c r="E17" s="765">
        <f>D33*1000</f>
        <v>94328</v>
      </c>
      <c r="F17" s="765">
        <f>F33*1000</f>
        <v>2492973.3155199997</v>
      </c>
      <c r="G17" s="765">
        <f>G33*1000</f>
        <v>141492</v>
      </c>
      <c r="H17" s="765">
        <f>I33*1000</f>
        <v>5791486.7465375997</v>
      </c>
      <c r="I17" s="765">
        <f>J33*1000</f>
        <v>188656</v>
      </c>
      <c r="K17" s="155"/>
      <c r="L17" s="705"/>
      <c r="M17" s="705"/>
      <c r="N17" s="705"/>
      <c r="O17" s="549"/>
      <c r="P17" s="549"/>
      <c r="Q17" s="549"/>
      <c r="R17" s="549"/>
      <c r="S17" s="550"/>
      <c r="T17" s="549"/>
      <c r="U17" s="549">
        <v>33494.21</v>
      </c>
      <c r="V17" s="549"/>
      <c r="W17" s="549"/>
    </row>
    <row r="18" spans="1:23" ht="63" customHeight="1" x14ac:dyDescent="0.25">
      <c r="A18" s="1709"/>
      <c r="B18" s="675" t="s">
        <v>691</v>
      </c>
      <c r="C18" s="676">
        <f>C24*C29</f>
        <v>879.2684145180001</v>
      </c>
      <c r="D18" s="676"/>
      <c r="E18" s="676">
        <f>D24*D29</f>
        <v>3483.84</v>
      </c>
      <c r="F18" s="764">
        <f>F24*F29</f>
        <v>980.2474737</v>
      </c>
      <c r="G18" s="764">
        <f>G24*G29</f>
        <v>3692.16</v>
      </c>
      <c r="H18" s="764">
        <f>I24*I29</f>
        <v>1215.086790564</v>
      </c>
      <c r="I18" s="764">
        <f>J24*J29</f>
        <v>3917.76</v>
      </c>
      <c r="K18" s="155" t="s">
        <v>285</v>
      </c>
      <c r="L18" s="706" t="e">
        <f>#REF!</f>
        <v>#REF!</v>
      </c>
      <c r="M18" s="706" t="e">
        <f>#REF!</f>
        <v>#REF!</v>
      </c>
      <c r="N18" s="706" t="e">
        <f>#REF!</f>
        <v>#REF!</v>
      </c>
      <c r="O18" s="551">
        <v>0.6668739369619352</v>
      </c>
      <c r="P18" s="551">
        <v>0.80749719946586151</v>
      </c>
      <c r="Q18" s="551">
        <v>0.78277393052175381</v>
      </c>
      <c r="R18" s="551">
        <v>0.62852055078547542</v>
      </c>
      <c r="S18" s="551">
        <v>0.66109476947432266</v>
      </c>
      <c r="T18" s="551">
        <v>0.34737731560311258</v>
      </c>
      <c r="U18" s="679">
        <v>0.1396</v>
      </c>
      <c r="V18" s="679">
        <v>0.1087</v>
      </c>
      <c r="W18" s="679">
        <v>0.48499999999999999</v>
      </c>
    </row>
    <row r="19" spans="1:23" ht="18" customHeight="1" x14ac:dyDescent="0.25">
      <c r="C19" s="662"/>
      <c r="D19" s="662"/>
      <c r="K19" s="232" t="s">
        <v>286</v>
      </c>
      <c r="L19" s="706" t="e">
        <f>#REF!</f>
        <v>#REF!</v>
      </c>
      <c r="M19" s="706" t="e">
        <f>#REF!</f>
        <v>#REF!</v>
      </c>
      <c r="N19" s="706" t="e">
        <f>#REF!</f>
        <v>#REF!</v>
      </c>
      <c r="O19" s="552">
        <v>0.3331260630380648</v>
      </c>
      <c r="P19" s="552">
        <v>0.19250280053413849</v>
      </c>
      <c r="Q19" s="552">
        <v>0.21722606947824619</v>
      </c>
      <c r="R19" s="552">
        <v>0.37147944921452458</v>
      </c>
      <c r="S19" s="552">
        <v>0.33890523052567734</v>
      </c>
      <c r="T19" s="552">
        <v>0.65262268439688742</v>
      </c>
      <c r="U19" s="679">
        <v>0.86040000000000005</v>
      </c>
      <c r="V19" s="679">
        <v>0.89129999999999998</v>
      </c>
      <c r="W19" s="679">
        <v>0.51500000000000001</v>
      </c>
    </row>
    <row r="21" spans="1:23" ht="23.25" customHeight="1" x14ac:dyDescent="0.2">
      <c r="A21" s="1710" t="s">
        <v>731</v>
      </c>
      <c r="B21" s="1710"/>
      <c r="C21" s="1710"/>
      <c r="D21" s="1710"/>
      <c r="E21" s="1710"/>
      <c r="F21" s="1710"/>
      <c r="G21" s="1710"/>
      <c r="H21" s="1710"/>
      <c r="I21" s="1710"/>
      <c r="J21" s="1710"/>
      <c r="K21" s="1710"/>
      <c r="L21" s="1710"/>
      <c r="M21" s="1710"/>
      <c r="N21" s="1710"/>
      <c r="O21" s="1710"/>
      <c r="P21" s="1710"/>
      <c r="Q21" s="1710"/>
      <c r="R21" s="1710"/>
      <c r="S21" s="1710"/>
      <c r="T21" s="1710"/>
      <c r="U21" s="1710"/>
      <c r="V21" s="1710"/>
      <c r="W21" s="1710"/>
    </row>
    <row r="22" spans="1:23" ht="15.75" x14ac:dyDescent="0.25">
      <c r="A22" s="1711" t="s">
        <v>732</v>
      </c>
      <c r="B22" s="1711"/>
      <c r="C22" s="1712" t="s">
        <v>360</v>
      </c>
      <c r="D22" s="1712"/>
      <c r="E22" s="1712"/>
      <c r="F22" s="1712" t="s">
        <v>359</v>
      </c>
      <c r="G22" s="1712"/>
      <c r="H22" s="1712"/>
      <c r="I22" s="1712" t="s">
        <v>538</v>
      </c>
      <c r="J22" s="1712"/>
      <c r="K22" s="1712"/>
      <c r="L22" s="1712" t="s">
        <v>733</v>
      </c>
      <c r="M22" s="1712"/>
      <c r="N22" s="1712"/>
      <c r="O22" s="1712" t="s">
        <v>734</v>
      </c>
      <c r="P22" s="1712"/>
      <c r="Q22" s="1712"/>
      <c r="R22" s="1712" t="s">
        <v>735</v>
      </c>
      <c r="S22" s="1712"/>
      <c r="T22" s="1712"/>
      <c r="U22" s="1712" t="s">
        <v>736</v>
      </c>
      <c r="V22" s="1712"/>
      <c r="W22" s="1712"/>
    </row>
    <row r="23" spans="1:23" ht="15.75" x14ac:dyDescent="0.25">
      <c r="A23" s="1711"/>
      <c r="B23" s="1711"/>
      <c r="C23" s="746" t="s">
        <v>737</v>
      </c>
      <c r="D23" s="746" t="s">
        <v>738</v>
      </c>
      <c r="E23" s="747" t="s">
        <v>429</v>
      </c>
      <c r="F23" s="746" t="s">
        <v>737</v>
      </c>
      <c r="G23" s="746" t="s">
        <v>738</v>
      </c>
      <c r="H23" s="747" t="s">
        <v>429</v>
      </c>
      <c r="I23" s="746" t="s">
        <v>737</v>
      </c>
      <c r="J23" s="746" t="s">
        <v>738</v>
      </c>
      <c r="K23" s="747" t="s">
        <v>429</v>
      </c>
      <c r="L23" s="746" t="s">
        <v>737</v>
      </c>
      <c r="M23" s="746" t="s">
        <v>738</v>
      </c>
      <c r="N23" s="747" t="s">
        <v>429</v>
      </c>
      <c r="O23" s="746" t="s">
        <v>737</v>
      </c>
      <c r="P23" s="746" t="s">
        <v>738</v>
      </c>
      <c r="Q23" s="747" t="s">
        <v>429</v>
      </c>
      <c r="R23" s="746" t="s">
        <v>737</v>
      </c>
      <c r="S23" s="746" t="s">
        <v>738</v>
      </c>
      <c r="T23" s="747" t="s">
        <v>429</v>
      </c>
      <c r="U23" s="746" t="s">
        <v>737</v>
      </c>
      <c r="V23" s="746" t="s">
        <v>738</v>
      </c>
      <c r="W23" s="747" t="s">
        <v>429</v>
      </c>
    </row>
    <row r="24" spans="1:23" ht="25.5" customHeight="1" x14ac:dyDescent="0.2">
      <c r="A24" s="1705" t="s">
        <v>825</v>
      </c>
      <c r="B24" s="1705"/>
      <c r="C24" s="756">
        <v>255.06</v>
      </c>
      <c r="D24" s="756">
        <v>290.32</v>
      </c>
      <c r="E24" s="841" t="s">
        <v>132</v>
      </c>
      <c r="F24" s="756">
        <v>270.05</v>
      </c>
      <c r="G24" s="756">
        <v>307.68</v>
      </c>
      <c r="H24" s="841" t="s">
        <v>132</v>
      </c>
      <c r="I24" s="756">
        <v>286.29000000000002</v>
      </c>
      <c r="J24" s="756">
        <v>326.48</v>
      </c>
      <c r="K24" s="841" t="s">
        <v>132</v>
      </c>
      <c r="L24" s="756">
        <v>303.63</v>
      </c>
      <c r="M24" s="756">
        <v>346.55</v>
      </c>
      <c r="N24" s="841" t="s">
        <v>132</v>
      </c>
      <c r="O24" s="756">
        <v>322.14999999999998</v>
      </c>
      <c r="P24" s="756">
        <v>367.99</v>
      </c>
      <c r="Q24" s="841" t="s">
        <v>132</v>
      </c>
      <c r="R24" s="756">
        <v>341.93</v>
      </c>
      <c r="S24" s="756">
        <v>390.89</v>
      </c>
      <c r="T24" s="841" t="s">
        <v>132</v>
      </c>
      <c r="U24" s="841" t="s">
        <v>132</v>
      </c>
      <c r="V24" s="841" t="s">
        <v>132</v>
      </c>
      <c r="W24" s="841" t="s">
        <v>132</v>
      </c>
    </row>
    <row r="25" spans="1:23" ht="25.5" customHeight="1" x14ac:dyDescent="0.25">
      <c r="A25" s="1707" t="s">
        <v>739</v>
      </c>
      <c r="B25" s="1707"/>
      <c r="C25" s="749">
        <v>304.08</v>
      </c>
      <c r="D25" s="749">
        <v>346.11</v>
      </c>
      <c r="E25" s="749" t="s">
        <v>132</v>
      </c>
      <c r="F25" s="749">
        <v>321.95</v>
      </c>
      <c r="G25" s="749">
        <v>366.81</v>
      </c>
      <c r="H25" s="749" t="s">
        <v>132</v>
      </c>
      <c r="I25" s="749">
        <v>341.31</v>
      </c>
      <c r="J25" s="749">
        <v>389.22</v>
      </c>
      <c r="K25" s="749" t="s">
        <v>132</v>
      </c>
      <c r="L25" s="749">
        <v>361.98</v>
      </c>
      <c r="M25" s="749">
        <v>413.15</v>
      </c>
      <c r="N25" s="749" t="s">
        <v>132</v>
      </c>
      <c r="O25" s="749">
        <v>384.06</v>
      </c>
      <c r="P25" s="749">
        <v>438.71</v>
      </c>
      <c r="Q25" s="749" t="s">
        <v>132</v>
      </c>
      <c r="R25" s="749">
        <v>407.64</v>
      </c>
      <c r="S25" s="749">
        <v>466.01</v>
      </c>
      <c r="T25" s="749" t="s">
        <v>132</v>
      </c>
      <c r="U25" s="749" t="s">
        <v>132</v>
      </c>
      <c r="V25" s="749" t="s">
        <v>132</v>
      </c>
      <c r="W25" s="749" t="s">
        <v>132</v>
      </c>
    </row>
    <row r="26" spans="1:23" ht="25.5" customHeight="1" x14ac:dyDescent="0.25">
      <c r="A26" s="1703" t="s">
        <v>740</v>
      </c>
      <c r="B26" s="1703"/>
      <c r="C26" s="750">
        <v>195.19</v>
      </c>
      <c r="D26" s="750">
        <v>255.22</v>
      </c>
      <c r="E26" s="751" t="s">
        <v>132</v>
      </c>
      <c r="F26" s="750">
        <v>208.27</v>
      </c>
      <c r="G26" s="750">
        <v>272.32</v>
      </c>
      <c r="H26" s="751" t="s">
        <v>132</v>
      </c>
      <c r="I26" s="750">
        <v>222.43</v>
      </c>
      <c r="J26" s="750">
        <v>290.83999999999997</v>
      </c>
      <c r="K26" s="751" t="s">
        <v>132</v>
      </c>
      <c r="L26" s="750">
        <v>237.56</v>
      </c>
      <c r="M26" s="750">
        <v>310.62</v>
      </c>
      <c r="N26" s="751" t="s">
        <v>132</v>
      </c>
      <c r="O26" s="750">
        <v>253.71</v>
      </c>
      <c r="P26" s="750">
        <v>331.74</v>
      </c>
      <c r="Q26" s="751" t="s">
        <v>132</v>
      </c>
      <c r="R26" s="750">
        <v>270.95999999999998</v>
      </c>
      <c r="S26" s="750">
        <v>354.3</v>
      </c>
      <c r="T26" s="751" t="s">
        <v>132</v>
      </c>
      <c r="U26" s="749" t="s">
        <v>132</v>
      </c>
      <c r="V26" s="749" t="s">
        <v>132</v>
      </c>
      <c r="W26" s="749" t="s">
        <v>132</v>
      </c>
    </row>
    <row r="27" spans="1:23" ht="25.5" customHeight="1" x14ac:dyDescent="0.25">
      <c r="A27" s="1703" t="s">
        <v>741</v>
      </c>
      <c r="B27" s="1703"/>
      <c r="C27" s="750">
        <v>37.29</v>
      </c>
      <c r="D27" s="750">
        <v>37.29</v>
      </c>
      <c r="E27" s="751"/>
      <c r="F27" s="750">
        <v>37.29</v>
      </c>
      <c r="G27" s="750">
        <v>37.29</v>
      </c>
      <c r="H27" s="750"/>
      <c r="I27" s="750">
        <v>37.29</v>
      </c>
      <c r="J27" s="750">
        <v>37.29</v>
      </c>
      <c r="K27" s="750"/>
      <c r="L27" s="750">
        <v>37.29</v>
      </c>
      <c r="M27" s="750">
        <v>37.29</v>
      </c>
      <c r="N27" s="750"/>
      <c r="O27" s="750">
        <v>37.29</v>
      </c>
      <c r="P27" s="750">
        <v>37.29</v>
      </c>
      <c r="Q27" s="750"/>
      <c r="R27" s="750">
        <v>37.29</v>
      </c>
      <c r="S27" s="750">
        <v>37.29</v>
      </c>
      <c r="T27" s="751"/>
      <c r="U27" s="749" t="s">
        <v>132</v>
      </c>
      <c r="V27" s="749" t="s">
        <v>132</v>
      </c>
      <c r="W27" s="749" t="s">
        <v>132</v>
      </c>
    </row>
    <row r="28" spans="1:23" ht="25.5" customHeight="1" x14ac:dyDescent="0.25">
      <c r="A28" s="1703" t="s">
        <v>826</v>
      </c>
      <c r="B28" s="1703"/>
      <c r="C28" s="750">
        <v>73.91</v>
      </c>
      <c r="D28" s="750">
        <v>73.91</v>
      </c>
      <c r="E28" s="751"/>
      <c r="F28" s="750">
        <v>73.91</v>
      </c>
      <c r="G28" s="750">
        <v>73.91</v>
      </c>
      <c r="H28" s="750"/>
      <c r="I28" s="750">
        <v>73.91</v>
      </c>
      <c r="J28" s="750">
        <v>73.91</v>
      </c>
      <c r="K28" s="750"/>
      <c r="L28" s="750">
        <v>73.91</v>
      </c>
      <c r="M28" s="750">
        <v>73.91</v>
      </c>
      <c r="N28" s="750"/>
      <c r="O28" s="750">
        <v>73.91</v>
      </c>
      <c r="P28" s="750">
        <v>73.91</v>
      </c>
      <c r="Q28" s="750"/>
      <c r="R28" s="750">
        <v>73.91</v>
      </c>
      <c r="S28" s="750">
        <v>73.91</v>
      </c>
      <c r="T28" s="751"/>
      <c r="U28" s="749" t="s">
        <v>132</v>
      </c>
      <c r="V28" s="749" t="s">
        <v>132</v>
      </c>
      <c r="W28" s="749" t="s">
        <v>132</v>
      </c>
    </row>
    <row r="29" spans="1:23" ht="25.5" customHeight="1" x14ac:dyDescent="0.25">
      <c r="A29" s="1707" t="s">
        <v>742</v>
      </c>
      <c r="B29" s="1707"/>
      <c r="C29" s="749">
        <v>3.4473003000000002</v>
      </c>
      <c r="D29" s="749">
        <v>12</v>
      </c>
      <c r="E29" s="752">
        <v>4.0112580592527527</v>
      </c>
      <c r="F29" s="749">
        <v>3.629874</v>
      </c>
      <c r="G29" s="749">
        <v>12</v>
      </c>
      <c r="H29" s="752">
        <v>4.0794171619521009</v>
      </c>
      <c r="I29" s="749">
        <v>4.2442516000000001</v>
      </c>
      <c r="J29" s="749">
        <v>12</v>
      </c>
      <c r="K29" s="752">
        <v>4.4889227612356661</v>
      </c>
      <c r="L29" s="749">
        <v>4.2317745000000002</v>
      </c>
      <c r="M29" s="749">
        <v>12</v>
      </c>
      <c r="N29" s="752">
        <v>4.5835580013339623</v>
      </c>
      <c r="O29" s="749">
        <v>4.2194007999999998</v>
      </c>
      <c r="P29" s="749">
        <v>12</v>
      </c>
      <c r="Q29" s="752">
        <v>4.6694450825227998</v>
      </c>
      <c r="R29" s="749">
        <v>4.2071284000000002</v>
      </c>
      <c r="S29" s="749">
        <v>12</v>
      </c>
      <c r="T29" s="752">
        <v>4.7474031141797139</v>
      </c>
      <c r="U29" s="749" t="s">
        <v>132</v>
      </c>
      <c r="V29" s="749" t="s">
        <v>132</v>
      </c>
      <c r="W29" s="749" t="s">
        <v>132</v>
      </c>
    </row>
    <row r="30" spans="1:23" ht="25.5" customHeight="1" x14ac:dyDescent="0.2">
      <c r="A30" s="1705" t="s">
        <v>827</v>
      </c>
      <c r="B30" s="1705"/>
      <c r="C30" s="756">
        <v>879.2684145180001</v>
      </c>
      <c r="D30" s="756">
        <v>3483.84</v>
      </c>
      <c r="E30" s="756">
        <v>1051.0116542767653</v>
      </c>
      <c r="F30" s="756">
        <v>980.2474737</v>
      </c>
      <c r="G30" s="756">
        <v>3692.16</v>
      </c>
      <c r="H30" s="756">
        <v>1125.8990125191781</v>
      </c>
      <c r="I30" s="756">
        <v>1215.086790564</v>
      </c>
      <c r="J30" s="756">
        <v>3917.76</v>
      </c>
      <c r="K30" s="756">
        <v>1300.3482196987088</v>
      </c>
      <c r="L30" s="756">
        <v>1284.8936914349999</v>
      </c>
      <c r="M30" s="756">
        <v>4158.6000000000004</v>
      </c>
      <c r="N30" s="756">
        <v>1415.0292631987818</v>
      </c>
      <c r="O30" s="756">
        <v>1359.2799677199998</v>
      </c>
      <c r="P30" s="756">
        <v>4415.88</v>
      </c>
      <c r="Q30" s="756">
        <v>1536.0793803522067</v>
      </c>
      <c r="R30" s="756">
        <v>1438.5434138120002</v>
      </c>
      <c r="S30" s="756">
        <v>4690.68</v>
      </c>
      <c r="T30" s="756">
        <v>1664.0119259040143</v>
      </c>
      <c r="U30" s="748" t="s">
        <v>132</v>
      </c>
      <c r="V30" s="748" t="s">
        <v>132</v>
      </c>
      <c r="W30" s="748" t="s">
        <v>132</v>
      </c>
    </row>
    <row r="31" spans="1:23" ht="25.5" customHeight="1" x14ac:dyDescent="0.2">
      <c r="A31" s="1706" t="s">
        <v>743</v>
      </c>
      <c r="B31" s="1706"/>
      <c r="C31" s="752">
        <v>1048.2550752239999</v>
      </c>
      <c r="D31" s="752">
        <v>4153.32</v>
      </c>
      <c r="E31" s="752">
        <v>1253.0004209902017</v>
      </c>
      <c r="F31" s="752">
        <v>1168.6379342999999</v>
      </c>
      <c r="G31" s="752">
        <v>4401.72</v>
      </c>
      <c r="H31" s="752">
        <v>1342.2804738108039</v>
      </c>
      <c r="I31" s="752">
        <v>1448.605513596</v>
      </c>
      <c r="J31" s="752">
        <v>4670.6400000000003</v>
      </c>
      <c r="K31" s="752">
        <v>1550.251270868094</v>
      </c>
      <c r="L31" s="752">
        <v>1531.8177335100002</v>
      </c>
      <c r="M31" s="752">
        <v>4957.7999999999993</v>
      </c>
      <c r="N31" s="752">
        <v>1686.9630800520017</v>
      </c>
      <c r="O31" s="752">
        <v>1620.503071248</v>
      </c>
      <c r="P31" s="752">
        <v>5264.5199999999995</v>
      </c>
      <c r="Q31" s="752">
        <v>1831.2797662101475</v>
      </c>
      <c r="R31" s="752">
        <v>1714.9938209760001</v>
      </c>
      <c r="S31" s="752">
        <v>5592.12</v>
      </c>
      <c r="T31" s="752">
        <v>1983.7924546158611</v>
      </c>
      <c r="U31" s="749" t="s">
        <v>132</v>
      </c>
      <c r="V31" s="749" t="s">
        <v>132</v>
      </c>
      <c r="W31" s="749" t="s">
        <v>132</v>
      </c>
    </row>
    <row r="32" spans="1:23" ht="25.5" customHeight="1" x14ac:dyDescent="0.25">
      <c r="A32" s="1707" t="s">
        <v>740</v>
      </c>
      <c r="B32" s="1707"/>
      <c r="C32" s="749">
        <v>672.87854555700005</v>
      </c>
      <c r="D32" s="749">
        <v>3062.64</v>
      </c>
      <c r="E32" s="752">
        <v>830.45738759167068</v>
      </c>
      <c r="F32" s="749">
        <v>755.99385798000003</v>
      </c>
      <c r="G32" s="749">
        <v>3267.84</v>
      </c>
      <c r="H32" s="752">
        <v>890.90022104082561</v>
      </c>
      <c r="I32" s="749">
        <v>944.04888338800004</v>
      </c>
      <c r="J32" s="749">
        <v>3490.08</v>
      </c>
      <c r="K32" s="752">
        <v>1024.3687129796351</v>
      </c>
      <c r="L32" s="749">
        <v>1005.30035022</v>
      </c>
      <c r="M32" s="749">
        <v>3727.44</v>
      </c>
      <c r="N32" s="752">
        <v>1128.5722373607136</v>
      </c>
      <c r="O32" s="749">
        <v>1070.5041769679999</v>
      </c>
      <c r="P32" s="749">
        <v>3980.88</v>
      </c>
      <c r="Q32" s="752">
        <v>1238.8457102458149</v>
      </c>
      <c r="R32" s="749">
        <v>1139.9635112639999</v>
      </c>
      <c r="S32" s="749">
        <v>4251.6000000000004</v>
      </c>
      <c r="T32" s="752">
        <v>1355.6912430776501</v>
      </c>
      <c r="U32" s="749" t="s">
        <v>132</v>
      </c>
      <c r="V32" s="749" t="s">
        <v>132</v>
      </c>
      <c r="W32" s="749" t="s">
        <v>132</v>
      </c>
    </row>
    <row r="33" spans="1:23" ht="25.5" customHeight="1" x14ac:dyDescent="0.2">
      <c r="A33" s="1719" t="s">
        <v>744</v>
      </c>
      <c r="B33" s="1719"/>
      <c r="C33" s="753">
        <v>1336.203</v>
      </c>
      <c r="D33" s="753">
        <v>94.328000000000003</v>
      </c>
      <c r="E33" s="753">
        <v>1430.5309999999999</v>
      </c>
      <c r="F33" s="753">
        <v>2492.9733155199997</v>
      </c>
      <c r="G33" s="753">
        <v>141.49199999999999</v>
      </c>
      <c r="H33" s="753">
        <v>2634.4653155199999</v>
      </c>
      <c r="I33" s="753">
        <v>5791.4867465376001</v>
      </c>
      <c r="J33" s="753">
        <v>188.65600000000001</v>
      </c>
      <c r="K33" s="753">
        <v>5980.1427465376</v>
      </c>
      <c r="L33" s="753">
        <v>5965.9830963991044</v>
      </c>
      <c r="M33" s="753">
        <v>282.98399999999998</v>
      </c>
      <c r="N33" s="753">
        <v>6248.9670963991048</v>
      </c>
      <c r="O33" s="753">
        <v>6145.8537402550683</v>
      </c>
      <c r="P33" s="753">
        <v>377.31200000000001</v>
      </c>
      <c r="Q33" s="753">
        <v>6523.1657402550682</v>
      </c>
      <c r="R33" s="753">
        <v>6331.2643698652701</v>
      </c>
      <c r="S33" s="753">
        <v>471.64100000000002</v>
      </c>
      <c r="T33" s="753">
        <v>6802.9053698652697</v>
      </c>
      <c r="U33" s="753">
        <v>28089.339268577041</v>
      </c>
      <c r="V33" s="753">
        <v>471.64100000000002</v>
      </c>
      <c r="W33" s="753">
        <v>28560.980268577041</v>
      </c>
    </row>
    <row r="34" spans="1:23" ht="25.5" customHeight="1" x14ac:dyDescent="0.2">
      <c r="A34" s="1720" t="s">
        <v>745</v>
      </c>
      <c r="B34" s="1720"/>
      <c r="C34" s="754">
        <v>0</v>
      </c>
      <c r="D34" s="754" t="s">
        <v>132</v>
      </c>
      <c r="E34" s="754">
        <v>0</v>
      </c>
      <c r="F34" s="754">
        <v>785.12900000000002</v>
      </c>
      <c r="G34" s="754" t="s">
        <v>132</v>
      </c>
      <c r="H34" s="754">
        <v>785.12900000000002</v>
      </c>
      <c r="I34" s="754">
        <v>800.67399999999998</v>
      </c>
      <c r="J34" s="754" t="s">
        <v>132</v>
      </c>
      <c r="K34" s="754">
        <v>800.67399999999998</v>
      </c>
      <c r="L34" s="754">
        <v>816.52700000000004</v>
      </c>
      <c r="M34" s="754" t="s">
        <v>132</v>
      </c>
      <c r="N34" s="754">
        <v>816.52700000000004</v>
      </c>
      <c r="O34" s="754">
        <v>832.69500000000005</v>
      </c>
      <c r="P34" s="754" t="s">
        <v>132</v>
      </c>
      <c r="Q34" s="754">
        <v>832.69500000000005</v>
      </c>
      <c r="R34" s="754">
        <v>849.18200000000002</v>
      </c>
      <c r="S34" s="754" t="s">
        <v>132</v>
      </c>
      <c r="T34" s="754">
        <v>849.18200000000002</v>
      </c>
      <c r="U34" s="754">
        <v>4084.2069999999999</v>
      </c>
      <c r="V34" s="754" t="s">
        <v>132</v>
      </c>
      <c r="W34" s="754">
        <v>4084.2069999999999</v>
      </c>
    </row>
    <row r="35" spans="1:23" ht="25.5" customHeight="1" x14ac:dyDescent="0.2">
      <c r="A35" s="1721" t="s">
        <v>746</v>
      </c>
      <c r="B35" s="1721"/>
      <c r="C35" s="749">
        <v>87.35</v>
      </c>
      <c r="D35" s="749">
        <v>346.11</v>
      </c>
      <c r="E35" s="752">
        <v>104.41241478164402</v>
      </c>
      <c r="F35" s="749">
        <v>97.39</v>
      </c>
      <c r="G35" s="749">
        <v>366.81</v>
      </c>
      <c r="H35" s="752">
        <v>111.86002335366697</v>
      </c>
      <c r="I35" s="749">
        <v>120.72</v>
      </c>
      <c r="J35" s="749">
        <v>389.22</v>
      </c>
      <c r="K35" s="752">
        <v>129.19038911058232</v>
      </c>
      <c r="L35" s="749">
        <v>127.65</v>
      </c>
      <c r="M35" s="749">
        <v>413.15</v>
      </c>
      <c r="N35" s="752">
        <v>140.57884580022119</v>
      </c>
      <c r="O35" s="749">
        <v>135.04</v>
      </c>
      <c r="P35" s="749">
        <v>438.71</v>
      </c>
      <c r="Q35" s="752">
        <v>152.60483578715872</v>
      </c>
      <c r="R35" s="749">
        <v>142.91999999999999</v>
      </c>
      <c r="S35" s="749">
        <v>466.01</v>
      </c>
      <c r="T35" s="752">
        <v>165.31961933984948</v>
      </c>
      <c r="U35" s="749" t="s">
        <v>132</v>
      </c>
      <c r="V35" s="749" t="s">
        <v>132</v>
      </c>
      <c r="W35" s="749" t="s">
        <v>132</v>
      </c>
    </row>
    <row r="36" spans="1:23" ht="25.5" customHeight="1" x14ac:dyDescent="0.2">
      <c r="A36" s="1722" t="s">
        <v>747</v>
      </c>
      <c r="B36" s="1723"/>
      <c r="C36" s="842">
        <v>4606.2930027609</v>
      </c>
      <c r="D36" s="842">
        <v>1131.9360000000001</v>
      </c>
      <c r="E36" s="843">
        <v>5738.2290027608997</v>
      </c>
      <c r="F36" s="842">
        <v>9049.179020699843</v>
      </c>
      <c r="G36" s="842">
        <v>1697.904</v>
      </c>
      <c r="H36" s="843">
        <v>10747.083020699843</v>
      </c>
      <c r="I36" s="842">
        <v>24580.526890371006</v>
      </c>
      <c r="J36" s="842">
        <v>2263.8720000000003</v>
      </c>
      <c r="K36" s="843">
        <v>26844.398890371005</v>
      </c>
      <c r="L36" s="842">
        <v>25246.695134772774</v>
      </c>
      <c r="M36" s="842">
        <v>3395.808</v>
      </c>
      <c r="N36" s="843">
        <v>28642.503134772775</v>
      </c>
      <c r="O36" s="842">
        <v>25931.820188315225</v>
      </c>
      <c r="P36" s="842">
        <v>4527.7440000000006</v>
      </c>
      <c r="Q36" s="843">
        <v>30459.564188315228</v>
      </c>
      <c r="R36" s="842">
        <v>26636.442138368282</v>
      </c>
      <c r="S36" s="842">
        <v>5659.692</v>
      </c>
      <c r="T36" s="843">
        <v>32296.134138368281</v>
      </c>
      <c r="U36" s="749" t="s">
        <v>132</v>
      </c>
      <c r="V36" s="749" t="s">
        <v>132</v>
      </c>
      <c r="W36" s="749" t="s">
        <v>132</v>
      </c>
    </row>
    <row r="37" spans="1:23" ht="25.5" customHeight="1" x14ac:dyDescent="0.2">
      <c r="A37" s="1724" t="s">
        <v>828</v>
      </c>
      <c r="B37" s="1725"/>
      <c r="C37" s="755">
        <v>3.2032999999999999E-2</v>
      </c>
      <c r="D37" s="755">
        <v>7.8720000000000005E-3</v>
      </c>
      <c r="E37" s="755">
        <v>3.9904999999999996E-2</v>
      </c>
      <c r="F37" s="755">
        <v>6.293E-2</v>
      </c>
      <c r="G37" s="755">
        <v>1.1808000000000001E-2</v>
      </c>
      <c r="H37" s="755">
        <v>7.4737999999999999E-2</v>
      </c>
      <c r="I37" s="755">
        <v>0.17094000000000001</v>
      </c>
      <c r="J37" s="755">
        <v>1.5744000000000001E-2</v>
      </c>
      <c r="K37" s="755">
        <v>0.18668400000000002</v>
      </c>
      <c r="L37" s="755">
        <v>0.17557200000000001</v>
      </c>
      <c r="M37" s="755">
        <v>2.3615000000000001E-2</v>
      </c>
      <c r="N37" s="755">
        <v>0.199187</v>
      </c>
      <c r="O37" s="755">
        <v>0.180337</v>
      </c>
      <c r="P37" s="755">
        <v>3.1487000000000001E-2</v>
      </c>
      <c r="Q37" s="755">
        <v>0.21182400000000001</v>
      </c>
      <c r="R37" s="755">
        <v>0.18523700000000001</v>
      </c>
      <c r="S37" s="755">
        <v>3.9358999999999998E-2</v>
      </c>
      <c r="T37" s="755">
        <v>0.22459600000000002</v>
      </c>
      <c r="U37" s="756" t="s">
        <v>132</v>
      </c>
      <c r="V37" s="756" t="s">
        <v>132</v>
      </c>
      <c r="W37" s="756" t="s">
        <v>132</v>
      </c>
    </row>
    <row r="38" spans="1:23" ht="25.5" customHeight="1" x14ac:dyDescent="0.2">
      <c r="A38" s="1724" t="s">
        <v>829</v>
      </c>
      <c r="B38" s="1725"/>
      <c r="C38" s="755">
        <v>9.2919999999999999E-3</v>
      </c>
      <c r="D38" s="755">
        <v>6.5600000000000001E-4</v>
      </c>
      <c r="E38" s="755">
        <v>9.9480000000000002E-3</v>
      </c>
      <c r="F38" s="755">
        <v>1.7337000000000002E-2</v>
      </c>
      <c r="G38" s="755">
        <v>9.8400000000000007E-4</v>
      </c>
      <c r="H38" s="755">
        <v>1.8321E-2</v>
      </c>
      <c r="I38" s="755">
        <v>4.0275999999999999E-2</v>
      </c>
      <c r="J38" s="755">
        <v>1.312E-3</v>
      </c>
      <c r="K38" s="755">
        <v>4.1588E-2</v>
      </c>
      <c r="L38" s="755">
        <v>4.1488999999999998E-2</v>
      </c>
      <c r="M38" s="755">
        <v>1.9680000000000001E-3</v>
      </c>
      <c r="N38" s="755">
        <v>4.3456999999999996E-2</v>
      </c>
      <c r="O38" s="755">
        <v>4.274E-2</v>
      </c>
      <c r="P38" s="755">
        <v>2.624E-3</v>
      </c>
      <c r="Q38" s="755">
        <v>4.5364000000000002E-2</v>
      </c>
      <c r="R38" s="755">
        <v>4.4028999999999999E-2</v>
      </c>
      <c r="S38" s="755">
        <v>3.2799999999999999E-3</v>
      </c>
      <c r="T38" s="755">
        <v>4.7308999999999997E-2</v>
      </c>
      <c r="U38" s="756" t="s">
        <v>132</v>
      </c>
      <c r="V38" s="756" t="s">
        <v>132</v>
      </c>
      <c r="W38" s="756" t="s">
        <v>132</v>
      </c>
    </row>
    <row r="39" spans="1:23" ht="25.5" customHeight="1" x14ac:dyDescent="0.2">
      <c r="A39" s="1718" t="s">
        <v>748</v>
      </c>
      <c r="B39" s="1718"/>
      <c r="C39" s="756">
        <v>1400.6815762795345</v>
      </c>
      <c r="D39" s="756">
        <v>391.77436896000006</v>
      </c>
      <c r="E39" s="756">
        <v>1792.4559452395347</v>
      </c>
      <c r="F39" s="756">
        <v>2913.3831857143141</v>
      </c>
      <c r="G39" s="756">
        <v>622.80816624000011</v>
      </c>
      <c r="H39" s="756">
        <v>3536.1913519543141</v>
      </c>
      <c r="I39" s="756">
        <v>8389.5796329525274</v>
      </c>
      <c r="J39" s="756">
        <v>881.14425984000013</v>
      </c>
      <c r="K39" s="756">
        <v>9270.7238927925282</v>
      </c>
      <c r="L39" s="756">
        <v>9138.7987048850482</v>
      </c>
      <c r="M39" s="756">
        <v>1402.9780751999999</v>
      </c>
      <c r="N39" s="756">
        <v>10541.776780085049</v>
      </c>
      <c r="O39" s="756">
        <v>9959.3748615243458</v>
      </c>
      <c r="P39" s="756">
        <v>1986.3665702400003</v>
      </c>
      <c r="Q39" s="756">
        <v>11945.741431764345</v>
      </c>
      <c r="R39" s="756">
        <v>10858.079273284446</v>
      </c>
      <c r="S39" s="756">
        <v>2637.4730689200001</v>
      </c>
      <c r="T39" s="756">
        <v>13495.552342204446</v>
      </c>
      <c r="U39" s="756">
        <v>42659.897234640215</v>
      </c>
      <c r="V39" s="756">
        <v>7922.5445094000006</v>
      </c>
      <c r="W39" s="756">
        <v>50582.441744040218</v>
      </c>
    </row>
    <row r="40" spans="1:23" ht="25.5" customHeight="1" x14ac:dyDescent="0.25">
      <c r="A40" s="1703" t="s">
        <v>749</v>
      </c>
      <c r="B40" s="1703"/>
      <c r="C40" s="750">
        <v>899.10233120890007</v>
      </c>
      <c r="D40" s="750">
        <v>288.89270592000003</v>
      </c>
      <c r="E40" s="751">
        <v>1187.9950371289001</v>
      </c>
      <c r="F40" s="750">
        <v>1884.6725146411563</v>
      </c>
      <c r="G40" s="750">
        <v>462.37321728000001</v>
      </c>
      <c r="H40" s="751">
        <v>2347.0457319211564</v>
      </c>
      <c r="I40" s="750">
        <v>5467.4465962252225</v>
      </c>
      <c r="J40" s="750">
        <v>658.42453248000004</v>
      </c>
      <c r="K40" s="751">
        <v>6125.8711287052229</v>
      </c>
      <c r="L40" s="750">
        <v>5997.6048962166196</v>
      </c>
      <c r="M40" s="750">
        <v>1054.80588096</v>
      </c>
      <c r="N40" s="751">
        <v>7052.4107771766194</v>
      </c>
      <c r="O40" s="750">
        <v>6579.1620999774559</v>
      </c>
      <c r="P40" s="750">
        <v>1502.0337945600004</v>
      </c>
      <c r="Q40" s="751">
        <v>8081.1958945374563</v>
      </c>
      <c r="R40" s="750">
        <v>7217.410361812269</v>
      </c>
      <c r="S40" s="750">
        <v>2005.2288756</v>
      </c>
      <c r="T40" s="751">
        <v>9222.6392374122697</v>
      </c>
      <c r="U40" s="751">
        <v>28045.398800081624</v>
      </c>
      <c r="V40" s="751">
        <v>5971.7590068</v>
      </c>
      <c r="W40" s="751">
        <v>34017.157806881623</v>
      </c>
    </row>
    <row r="41" spans="1:23" ht="25.5" customHeight="1" x14ac:dyDescent="0.25">
      <c r="A41" s="1703" t="s">
        <v>750</v>
      </c>
      <c r="B41" s="1703"/>
      <c r="C41" s="750">
        <v>171.76866607295395</v>
      </c>
      <c r="D41" s="750">
        <v>42.209893440000009</v>
      </c>
      <c r="E41" s="751">
        <v>213.97855951295395</v>
      </c>
      <c r="F41" s="750">
        <v>337.44388568189709</v>
      </c>
      <c r="G41" s="750">
        <v>63.314840160000003</v>
      </c>
      <c r="H41" s="751">
        <v>400.7587258418971</v>
      </c>
      <c r="I41" s="750">
        <v>916.60784774193485</v>
      </c>
      <c r="J41" s="750">
        <v>84.419786880000018</v>
      </c>
      <c r="K41" s="751">
        <v>1001.0276346219349</v>
      </c>
      <c r="L41" s="750">
        <v>941.4492615756767</v>
      </c>
      <c r="M41" s="750">
        <v>126.62968032000001</v>
      </c>
      <c r="N41" s="751">
        <v>1068.0789418956767</v>
      </c>
      <c r="O41" s="750">
        <v>966.99757482227471</v>
      </c>
      <c r="P41" s="750">
        <v>168.83957376000004</v>
      </c>
      <c r="Q41" s="751">
        <v>1135.8371485822747</v>
      </c>
      <c r="R41" s="750">
        <v>993.27292733975321</v>
      </c>
      <c r="S41" s="750">
        <v>211.04991468</v>
      </c>
      <c r="T41" s="751">
        <v>1204.3228420197531</v>
      </c>
      <c r="U41" s="751">
        <v>4327.5401632344901</v>
      </c>
      <c r="V41" s="751">
        <v>696.46368924000012</v>
      </c>
      <c r="W41" s="751">
        <v>5024.0038524744905</v>
      </c>
    </row>
    <row r="42" spans="1:23" ht="25.5" customHeight="1" x14ac:dyDescent="0.25">
      <c r="A42" s="1703" t="s">
        <v>830</v>
      </c>
      <c r="B42" s="1703"/>
      <c r="C42" s="750">
        <v>340.4511158340581</v>
      </c>
      <c r="D42" s="750">
        <v>83.661389760000006</v>
      </c>
      <c r="E42" s="751">
        <v>424.11250559405812</v>
      </c>
      <c r="F42" s="750">
        <v>668.82482141992534</v>
      </c>
      <c r="G42" s="750">
        <v>125.49208464</v>
      </c>
      <c r="H42" s="751">
        <v>794.31690605992537</v>
      </c>
      <c r="I42" s="750">
        <v>1816.7467424673209</v>
      </c>
      <c r="J42" s="750">
        <v>167.32277952000001</v>
      </c>
      <c r="K42" s="751">
        <v>1984.069521987321</v>
      </c>
      <c r="L42" s="750">
        <v>1865.9832374110558</v>
      </c>
      <c r="M42" s="750">
        <v>250.98416928</v>
      </c>
      <c r="N42" s="751">
        <v>2116.9674066910557</v>
      </c>
      <c r="O42" s="750">
        <v>1916.6208301183781</v>
      </c>
      <c r="P42" s="750">
        <v>334.64555904000002</v>
      </c>
      <c r="Q42" s="751">
        <v>2251.2663891583779</v>
      </c>
      <c r="R42" s="750">
        <v>1968.6994384467996</v>
      </c>
      <c r="S42" s="750">
        <v>418.30783571999996</v>
      </c>
      <c r="T42" s="751">
        <v>2387.0072741667996</v>
      </c>
      <c r="U42" s="751">
        <v>8577.3261856975369</v>
      </c>
      <c r="V42" s="751">
        <v>1380.41381796</v>
      </c>
      <c r="W42" s="751">
        <v>9957.7400036575364</v>
      </c>
    </row>
    <row r="43" spans="1:23" ht="15" customHeight="1" x14ac:dyDescent="0.2">
      <c r="A43" s="1727" t="s">
        <v>846</v>
      </c>
      <c r="B43" s="1727"/>
      <c r="C43" s="1727"/>
      <c r="D43" s="1727"/>
      <c r="E43" s="1727"/>
      <c r="F43" s="1727"/>
      <c r="G43" s="1727"/>
      <c r="H43" s="1727"/>
      <c r="I43" s="1727"/>
      <c r="J43" s="1727"/>
      <c r="K43" s="1727"/>
      <c r="L43" s="1727"/>
      <c r="M43" s="1727"/>
      <c r="N43" s="1727"/>
      <c r="O43" s="1727"/>
      <c r="P43" s="1727"/>
      <c r="Q43" s="1727"/>
      <c r="R43" s="1727"/>
      <c r="S43" s="1727"/>
      <c r="T43" s="1727"/>
      <c r="U43" s="1727"/>
      <c r="V43" s="1727"/>
      <c r="W43" s="1727"/>
    </row>
    <row r="44" spans="1:23" ht="15" x14ac:dyDescent="0.2">
      <c r="A44" s="1728" t="s">
        <v>831</v>
      </c>
      <c r="B44" s="1728"/>
      <c r="C44" s="1728"/>
      <c r="D44" s="1728"/>
      <c r="E44" s="1728"/>
      <c r="F44" s="1728"/>
      <c r="G44" s="1728"/>
      <c r="H44" s="1728"/>
      <c r="I44" s="1728"/>
      <c r="J44" s="1728"/>
      <c r="K44" s="1728"/>
      <c r="L44" s="1728"/>
      <c r="M44" s="1728"/>
      <c r="N44" s="1728"/>
      <c r="O44" s="1728"/>
      <c r="P44" s="1728"/>
      <c r="Q44" s="1728"/>
      <c r="R44" s="1728"/>
      <c r="S44" s="1728"/>
      <c r="T44" s="1728"/>
      <c r="U44" s="1728"/>
      <c r="V44" s="1728"/>
      <c r="W44" s="1728"/>
    </row>
    <row r="45" spans="1:23" ht="15" customHeight="1" x14ac:dyDescent="0.2">
      <c r="A45" s="1727" t="s">
        <v>847</v>
      </c>
      <c r="B45" s="1727"/>
      <c r="C45" s="1727"/>
      <c r="D45" s="1727"/>
      <c r="E45" s="1727"/>
      <c r="F45" s="1727"/>
      <c r="G45" s="1727"/>
      <c r="H45" s="1727"/>
      <c r="I45" s="1727"/>
      <c r="J45" s="1727"/>
      <c r="K45" s="1727"/>
      <c r="L45" s="1727"/>
      <c r="M45" s="1727"/>
      <c r="N45" s="1727"/>
      <c r="O45" s="1727"/>
      <c r="P45" s="1727"/>
      <c r="Q45" s="1727"/>
      <c r="R45" s="1727"/>
      <c r="S45" s="1727"/>
      <c r="T45" s="1727"/>
      <c r="U45" s="1727"/>
      <c r="V45" s="1727"/>
      <c r="W45" s="1727"/>
    </row>
    <row r="46" spans="1:23" ht="15" customHeight="1" x14ac:dyDescent="0.25">
      <c r="A46" s="1726" t="s">
        <v>751</v>
      </c>
      <c r="B46" s="1726"/>
      <c r="C46" s="1726"/>
      <c r="D46" s="244"/>
      <c r="E46" s="244"/>
      <c r="F46" s="244"/>
      <c r="G46" s="244"/>
      <c r="H46" s="757"/>
      <c r="I46" s="244"/>
      <c r="J46" s="244"/>
      <c r="K46" s="757"/>
      <c r="L46" s="244"/>
      <c r="M46" s="244"/>
      <c r="N46" s="757"/>
      <c r="Q46" s="758"/>
      <c r="T46" s="758"/>
      <c r="U46" s="758"/>
      <c r="V46" s="758"/>
      <c r="W46" s="758"/>
    </row>
    <row r="47" spans="1:23" ht="37.5" x14ac:dyDescent="0.25">
      <c r="A47" s="759" t="s">
        <v>752</v>
      </c>
      <c r="B47" s="759" t="s">
        <v>753</v>
      </c>
      <c r="C47" s="759" t="s">
        <v>754</v>
      </c>
      <c r="D47" s="244"/>
      <c r="E47" s="244"/>
      <c r="F47" s="244"/>
      <c r="H47" s="757"/>
      <c r="I47" s="244"/>
      <c r="J47" s="244"/>
      <c r="K47" s="757"/>
      <c r="L47" s="760"/>
      <c r="M47" s="244"/>
      <c r="N47" s="757"/>
      <c r="Q47" s="758"/>
      <c r="T47" s="758"/>
      <c r="U47" s="758"/>
      <c r="V47" s="758"/>
      <c r="W47" s="758"/>
    </row>
    <row r="48" spans="1:23" ht="18.75" x14ac:dyDescent="0.25">
      <c r="A48" s="761" t="s">
        <v>361</v>
      </c>
      <c r="B48" s="762">
        <f>3120181003.7/1000</f>
        <v>3120181.0036999998</v>
      </c>
      <c r="C48" s="759"/>
      <c r="D48" s="244"/>
      <c r="E48" s="244"/>
      <c r="F48" s="244"/>
      <c r="G48" s="244"/>
      <c r="H48" s="757"/>
      <c r="I48" s="244"/>
      <c r="J48" s="244"/>
      <c r="K48" s="757"/>
      <c r="L48" s="244"/>
      <c r="M48" s="244"/>
      <c r="N48" s="757"/>
      <c r="Q48" s="758"/>
      <c r="T48" s="758"/>
      <c r="U48" s="758"/>
      <c r="V48" s="758"/>
      <c r="W48" s="758"/>
    </row>
    <row r="49" spans="1:23" ht="18.75" x14ac:dyDescent="0.25">
      <c r="A49" s="761" t="s">
        <v>360</v>
      </c>
      <c r="B49" s="762">
        <f>3336423075.3/1000</f>
        <v>3336423.0753000001</v>
      </c>
      <c r="C49" s="763">
        <f>ROUND(B49/B48,3)</f>
        <v>1.069</v>
      </c>
      <c r="D49" s="244"/>
      <c r="E49" s="244"/>
      <c r="F49" s="244"/>
      <c r="G49" s="244"/>
      <c r="H49" s="757"/>
      <c r="I49" s="244"/>
      <c r="J49" s="244"/>
      <c r="K49" s="757"/>
      <c r="L49" s="244"/>
      <c r="M49" s="244"/>
      <c r="N49" s="757"/>
      <c r="Q49" s="758"/>
      <c r="T49" s="758"/>
      <c r="U49" s="758"/>
      <c r="V49" s="758"/>
      <c r="W49" s="758"/>
    </row>
    <row r="50" spans="1:23" ht="18.75" x14ac:dyDescent="0.25">
      <c r="A50" s="761" t="s">
        <v>359</v>
      </c>
      <c r="B50" s="762">
        <f>3559416185.9/1000</f>
        <v>3559416.1858999999</v>
      </c>
      <c r="C50" s="763">
        <f>ROUND(B50/B49,3)</f>
        <v>1.0669999999999999</v>
      </c>
      <c r="D50" s="244"/>
      <c r="E50" s="244"/>
      <c r="F50" s="244"/>
      <c r="G50" s="244"/>
      <c r="H50" s="757"/>
      <c r="I50" s="244"/>
      <c r="J50" s="244"/>
      <c r="K50" s="757"/>
      <c r="L50" s="244"/>
      <c r="M50" s="244"/>
      <c r="N50" s="757"/>
      <c r="Q50" s="758"/>
      <c r="T50" s="758"/>
      <c r="U50" s="758"/>
      <c r="V50" s="758"/>
      <c r="W50" s="758"/>
    </row>
    <row r="51" spans="1:23" ht="18.75" customHeight="1" x14ac:dyDescent="0.25">
      <c r="A51" s="1713" t="s">
        <v>755</v>
      </c>
      <c r="B51" s="1714"/>
      <c r="C51" s="763">
        <f>AVERAGE(C49:C50)</f>
        <v>1.0680000000000001</v>
      </c>
      <c r="D51" s="244"/>
      <c r="E51" s="244"/>
      <c r="F51" s="244"/>
      <c r="G51" s="244"/>
      <c r="H51" s="757"/>
      <c r="I51" s="244"/>
      <c r="J51" s="244"/>
      <c r="K51" s="757"/>
      <c r="L51" s="244"/>
      <c r="M51" s="244"/>
      <c r="N51" s="757"/>
      <c r="Q51" s="758"/>
      <c r="T51" s="758"/>
      <c r="U51" s="758"/>
      <c r="V51" s="758"/>
      <c r="W51" s="758"/>
    </row>
    <row r="52" spans="1:23" ht="18.75" customHeight="1" x14ac:dyDescent="0.25">
      <c r="A52" s="1687" t="s">
        <v>832</v>
      </c>
      <c r="B52" s="1688"/>
      <c r="C52" s="844">
        <v>143796600</v>
      </c>
      <c r="H52" s="758"/>
      <c r="K52" s="758"/>
      <c r="N52" s="758"/>
      <c r="Q52" s="758"/>
      <c r="T52" s="758"/>
      <c r="U52" s="758"/>
      <c r="V52" s="758"/>
      <c r="W52" s="758"/>
    </row>
  </sheetData>
  <mergeCells count="52">
    <mergeCell ref="A46:C46"/>
    <mergeCell ref="A41:B41"/>
    <mergeCell ref="A42:B42"/>
    <mergeCell ref="A43:W43"/>
    <mergeCell ref="A44:W44"/>
    <mergeCell ref="A45:W45"/>
    <mergeCell ref="A51:B51"/>
    <mergeCell ref="D1:D3"/>
    <mergeCell ref="O15:T15"/>
    <mergeCell ref="A39:B39"/>
    <mergeCell ref="A40:B40"/>
    <mergeCell ref="A33:B33"/>
    <mergeCell ref="A34:B34"/>
    <mergeCell ref="A35:B35"/>
    <mergeCell ref="A36:B36"/>
    <mergeCell ref="A37:B37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H15:I15"/>
    <mergeCell ref="A17:A18"/>
    <mergeCell ref="A21:W21"/>
    <mergeCell ref="A22:B23"/>
    <mergeCell ref="C22:E22"/>
    <mergeCell ref="F22:H22"/>
    <mergeCell ref="I22:K22"/>
    <mergeCell ref="L22:N22"/>
    <mergeCell ref="O22:Q22"/>
    <mergeCell ref="R22:T22"/>
    <mergeCell ref="U22:W22"/>
    <mergeCell ref="A52:B52"/>
    <mergeCell ref="O1:O3"/>
    <mergeCell ref="A1:A3"/>
    <mergeCell ref="B1:B3"/>
    <mergeCell ref="C1:C3"/>
    <mergeCell ref="E1:E3"/>
    <mergeCell ref="F1:F3"/>
    <mergeCell ref="G1:G3"/>
    <mergeCell ref="I1:I3"/>
    <mergeCell ref="J1:J3"/>
    <mergeCell ref="K1:K3"/>
    <mergeCell ref="M1:M3"/>
    <mergeCell ref="N1:N3"/>
    <mergeCell ref="A26:B26"/>
    <mergeCell ref="C15:E15"/>
    <mergeCell ref="F15:G15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8"/>
  <sheetViews>
    <sheetView workbookViewId="0">
      <selection activeCell="D49" sqref="D49"/>
    </sheetView>
  </sheetViews>
  <sheetFormatPr defaultRowHeight="12.75" x14ac:dyDescent="0.2"/>
  <cols>
    <col min="1" max="1" width="32" customWidth="1"/>
  </cols>
  <sheetData>
    <row r="1" spans="1:5" x14ac:dyDescent="0.2">
      <c r="A1" t="s">
        <v>282</v>
      </c>
    </row>
    <row r="2" spans="1:5" x14ac:dyDescent="0.2">
      <c r="A2" s="546">
        <v>45523</v>
      </c>
      <c r="B2">
        <v>2025</v>
      </c>
      <c r="C2">
        <v>2026</v>
      </c>
      <c r="D2">
        <v>2027</v>
      </c>
    </row>
    <row r="3" spans="1:5" x14ac:dyDescent="0.2">
      <c r="A3" t="s">
        <v>283</v>
      </c>
      <c r="B3">
        <v>1.0445660000000001</v>
      </c>
      <c r="C3">
        <v>1.04026</v>
      </c>
      <c r="D3">
        <v>1.0403819999999999</v>
      </c>
    </row>
    <row r="4" spans="1:5" ht="38.25" x14ac:dyDescent="0.2">
      <c r="A4" s="81" t="s">
        <v>284</v>
      </c>
      <c r="B4">
        <v>1.132158</v>
      </c>
      <c r="C4">
        <v>1.1022110000000001</v>
      </c>
      <c r="D4">
        <v>1.0828500000000001</v>
      </c>
    </row>
    <row r="6" spans="1:5" x14ac:dyDescent="0.2">
      <c r="A6" s="542"/>
      <c r="B6" s="543"/>
      <c r="C6" s="543"/>
      <c r="D6" s="543"/>
    </row>
    <row r="7" spans="1:5" x14ac:dyDescent="0.2">
      <c r="A7" s="543" t="s">
        <v>283</v>
      </c>
      <c r="B7" s="543">
        <v>1.0454210000000002</v>
      </c>
      <c r="C7" s="543">
        <v>1.040395</v>
      </c>
      <c r="D7" s="543">
        <v>1.0400400000000001</v>
      </c>
    </row>
    <row r="8" spans="1:5" ht="38.25" x14ac:dyDescent="0.2">
      <c r="A8" s="544" t="s">
        <v>284</v>
      </c>
      <c r="B8" s="545">
        <v>1.0981529999999999</v>
      </c>
      <c r="C8" s="545">
        <v>1.0682989999999999</v>
      </c>
      <c r="D8" s="545">
        <v>1.0643800000000001</v>
      </c>
      <c r="E8" s="158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2:I55"/>
  <sheetViews>
    <sheetView zoomScaleNormal="100" workbookViewId="0">
      <selection activeCell="I5" sqref="I5"/>
    </sheetView>
  </sheetViews>
  <sheetFormatPr defaultColWidth="9.140625" defaultRowHeight="15" x14ac:dyDescent="0.25"/>
  <cols>
    <col min="1" max="1" width="70" style="178" customWidth="1"/>
    <col min="2" max="2" width="9.7109375" style="179" hidden="1" customWidth="1"/>
    <col min="3" max="3" width="9.7109375" style="166" hidden="1" customWidth="1"/>
    <col min="4" max="4" width="11.7109375" style="180" customWidth="1"/>
    <col min="5" max="7" width="9.7109375" style="166" customWidth="1"/>
    <col min="8" max="9" width="9.7109375" style="181" customWidth="1"/>
    <col min="10" max="16384" width="9.140625" style="166"/>
  </cols>
  <sheetData>
    <row r="2" spans="1:9" x14ac:dyDescent="0.25">
      <c r="A2" s="1729" t="s">
        <v>83</v>
      </c>
      <c r="B2" s="1729" t="s">
        <v>384</v>
      </c>
      <c r="C2" s="1729"/>
      <c r="D2" s="1729" t="s">
        <v>384</v>
      </c>
      <c r="E2" s="1729"/>
      <c r="F2" s="1729" t="s">
        <v>385</v>
      </c>
      <c r="G2" s="1729"/>
      <c r="H2" s="1730" t="s">
        <v>371</v>
      </c>
      <c r="I2" s="1731"/>
    </row>
    <row r="3" spans="1:9" x14ac:dyDescent="0.25">
      <c r="A3" s="1729"/>
      <c r="B3" s="1732" t="s">
        <v>362</v>
      </c>
      <c r="C3" s="1732"/>
      <c r="D3" s="1732" t="s">
        <v>363</v>
      </c>
      <c r="E3" s="1732"/>
      <c r="F3" s="1732" t="s">
        <v>362</v>
      </c>
      <c r="G3" s="1732"/>
      <c r="H3" s="167"/>
      <c r="I3" s="167"/>
    </row>
    <row r="4" spans="1:9" x14ac:dyDescent="0.25">
      <c r="A4" s="1729"/>
      <c r="B4" s="168" t="s">
        <v>386</v>
      </c>
      <c r="C4" s="165" t="s">
        <v>379</v>
      </c>
      <c r="D4" s="169" t="s">
        <v>386</v>
      </c>
      <c r="E4" s="165" t="s">
        <v>379</v>
      </c>
      <c r="F4" s="165" t="s">
        <v>386</v>
      </c>
      <c r="G4" s="165" t="s">
        <v>379</v>
      </c>
      <c r="H4" s="165" t="s">
        <v>386</v>
      </c>
      <c r="I4" s="165" t="s">
        <v>379</v>
      </c>
    </row>
    <row r="5" spans="1:9" ht="28.5" x14ac:dyDescent="0.25">
      <c r="A5" s="170" t="s">
        <v>85</v>
      </c>
      <c r="B5" s="171">
        <v>0.28999999999999998</v>
      </c>
      <c r="C5" s="172">
        <v>3057.6</v>
      </c>
      <c r="D5" s="173">
        <v>0.28999999999999998</v>
      </c>
      <c r="E5" s="172">
        <v>2884.7</v>
      </c>
      <c r="F5" s="172">
        <v>0.28999999999999998</v>
      </c>
      <c r="G5" s="174">
        <v>3288.9</v>
      </c>
      <c r="H5" s="167">
        <f>+IF(D5&gt;0,F5/D5)</f>
        <v>1</v>
      </c>
      <c r="I5" s="167">
        <f>+IF(E5&gt;0,G5/E5)</f>
        <v>1.1401185565223422</v>
      </c>
    </row>
    <row r="6" spans="1:9" x14ac:dyDescent="0.25">
      <c r="A6" s="170" t="s">
        <v>387</v>
      </c>
      <c r="B6" s="171"/>
      <c r="C6" s="172"/>
      <c r="D6" s="173"/>
      <c r="E6" s="172"/>
      <c r="F6" s="175"/>
      <c r="G6" s="174"/>
      <c r="H6" s="175"/>
      <c r="I6" s="174"/>
    </row>
    <row r="7" spans="1:9" x14ac:dyDescent="0.25">
      <c r="A7" s="176" t="s">
        <v>388</v>
      </c>
      <c r="B7" s="171"/>
      <c r="C7" s="172"/>
      <c r="D7" s="173"/>
      <c r="E7" s="172"/>
      <c r="F7" s="175"/>
      <c r="G7" s="174"/>
      <c r="H7" s="175"/>
      <c r="I7" s="174"/>
    </row>
    <row r="8" spans="1:9" x14ac:dyDescent="0.25">
      <c r="A8" s="176" t="s">
        <v>389</v>
      </c>
      <c r="B8" s="171"/>
      <c r="C8" s="172"/>
      <c r="D8" s="173"/>
      <c r="E8" s="172"/>
      <c r="F8" s="175"/>
      <c r="G8" s="174"/>
      <c r="H8" s="175"/>
      <c r="I8" s="174"/>
    </row>
    <row r="9" spans="1:9" x14ac:dyDescent="0.25">
      <c r="A9" s="176" t="s">
        <v>390</v>
      </c>
      <c r="B9" s="171">
        <v>2.93</v>
      </c>
      <c r="C9" s="172">
        <v>703.8</v>
      </c>
      <c r="D9" s="173"/>
      <c r="E9" s="172"/>
      <c r="F9" s="175"/>
      <c r="G9" s="174"/>
      <c r="H9" s="175"/>
      <c r="I9" s="174"/>
    </row>
    <row r="10" spans="1:9" x14ac:dyDescent="0.25">
      <c r="A10" s="176" t="s">
        <v>391</v>
      </c>
      <c r="B10" s="171"/>
      <c r="C10" s="172"/>
      <c r="D10" s="173"/>
      <c r="E10" s="172"/>
      <c r="F10" s="175"/>
      <c r="G10" s="174"/>
      <c r="H10" s="175"/>
      <c r="I10" s="174"/>
    </row>
    <row r="11" spans="1:9" x14ac:dyDescent="0.25">
      <c r="A11" s="176" t="s">
        <v>327</v>
      </c>
      <c r="B11" s="171">
        <v>0.27200000000000002</v>
      </c>
      <c r="C11" s="172">
        <v>2136.4</v>
      </c>
      <c r="D11" s="173">
        <v>0.27200000000000002</v>
      </c>
      <c r="E11" s="172">
        <v>2015.9</v>
      </c>
      <c r="F11" s="175">
        <v>0.26558999999999999</v>
      </c>
      <c r="G11" s="174">
        <v>2051.5</v>
      </c>
      <c r="H11" s="167">
        <f t="shared" ref="H11:I55" si="0">+IF(D11&gt;0,F11/D11)</f>
        <v>0.97643382352941166</v>
      </c>
      <c r="I11" s="167">
        <f t="shared" si="0"/>
        <v>1.0176596061312564</v>
      </c>
    </row>
    <row r="12" spans="1:9" x14ac:dyDescent="0.25">
      <c r="A12" s="176" t="s">
        <v>392</v>
      </c>
      <c r="B12" s="171">
        <v>0.26300000000000001</v>
      </c>
      <c r="C12" s="172">
        <v>2455.8000000000002</v>
      </c>
      <c r="D12" s="173">
        <v>0.26300000000000001</v>
      </c>
      <c r="E12" s="172">
        <v>2492.5</v>
      </c>
      <c r="F12" s="173">
        <v>0.33141300000000001</v>
      </c>
      <c r="G12" s="174">
        <v>2507.1999999999998</v>
      </c>
      <c r="H12" s="167">
        <f t="shared" si="0"/>
        <v>1.2601254752851712</v>
      </c>
      <c r="I12" s="167">
        <f t="shared" si="0"/>
        <v>1.0058976930792376</v>
      </c>
    </row>
    <row r="13" spans="1:9" x14ac:dyDescent="0.25">
      <c r="A13" s="176" t="s">
        <v>393</v>
      </c>
      <c r="B13" s="171"/>
      <c r="C13" s="172"/>
      <c r="D13" s="173"/>
      <c r="E13" s="172"/>
      <c r="F13" s="173"/>
      <c r="G13" s="174"/>
      <c r="H13" s="175"/>
      <c r="I13" s="174"/>
    </row>
    <row r="14" spans="1:9" x14ac:dyDescent="0.25">
      <c r="A14" s="176" t="s">
        <v>90</v>
      </c>
      <c r="B14" s="171" t="s">
        <v>132</v>
      </c>
      <c r="C14" s="172" t="s">
        <v>132</v>
      </c>
      <c r="D14" s="173"/>
      <c r="E14" s="172">
        <v>1017.5</v>
      </c>
      <c r="F14" s="173" t="s">
        <v>132</v>
      </c>
      <c r="G14" s="174">
        <v>1084.0999999999999</v>
      </c>
      <c r="H14" s="175"/>
      <c r="I14" s="167">
        <f t="shared" si="0"/>
        <v>1.0654545454545454</v>
      </c>
    </row>
    <row r="15" spans="1:9" x14ac:dyDescent="0.25">
      <c r="A15" s="176" t="s">
        <v>394</v>
      </c>
      <c r="B15" s="171">
        <v>2.395</v>
      </c>
      <c r="C15" s="172">
        <v>348.7</v>
      </c>
      <c r="D15" s="173">
        <v>2.395</v>
      </c>
      <c r="E15" s="172">
        <v>329</v>
      </c>
      <c r="F15" s="173">
        <v>2.133264</v>
      </c>
      <c r="G15" s="174">
        <v>355.2</v>
      </c>
      <c r="H15" s="167">
        <f t="shared" si="0"/>
        <v>0.89071565762004179</v>
      </c>
      <c r="I15" s="167">
        <f t="shared" si="0"/>
        <v>1.0796352583586626</v>
      </c>
    </row>
    <row r="16" spans="1:9" x14ac:dyDescent="0.25">
      <c r="A16" s="176" t="s">
        <v>395</v>
      </c>
      <c r="B16" s="171">
        <v>0.54</v>
      </c>
      <c r="C16" s="172">
        <v>756.4</v>
      </c>
      <c r="D16" s="173">
        <v>0.54</v>
      </c>
      <c r="E16" s="172">
        <v>713.7</v>
      </c>
      <c r="F16" s="172">
        <v>0.54</v>
      </c>
      <c r="G16" s="174">
        <v>770</v>
      </c>
      <c r="H16" s="167">
        <f t="shared" si="0"/>
        <v>1</v>
      </c>
      <c r="I16" s="167">
        <f t="shared" si="0"/>
        <v>1.0788846854420624</v>
      </c>
    </row>
    <row r="17" spans="1:9" x14ac:dyDescent="0.25">
      <c r="A17" s="176" t="s">
        <v>396</v>
      </c>
      <c r="B17" s="171">
        <v>1.7877000000000001</v>
      </c>
      <c r="C17" s="172">
        <v>1695.4</v>
      </c>
      <c r="D17" s="173">
        <v>1.7877000000000001</v>
      </c>
      <c r="E17" s="172">
        <v>1599.8</v>
      </c>
      <c r="F17" s="177">
        <v>1.7877000000000001</v>
      </c>
      <c r="G17" s="174">
        <v>1727.1</v>
      </c>
      <c r="H17" s="167">
        <f t="shared" si="0"/>
        <v>1</v>
      </c>
      <c r="I17" s="167">
        <f t="shared" si="0"/>
        <v>1.0795724465558194</v>
      </c>
    </row>
    <row r="18" spans="1:9" x14ac:dyDescent="0.25">
      <c r="A18" s="176" t="s">
        <v>391</v>
      </c>
      <c r="B18" s="171"/>
      <c r="C18" s="172"/>
      <c r="D18" s="173"/>
      <c r="E18" s="172"/>
      <c r="F18" s="173"/>
      <c r="G18" s="174"/>
      <c r="H18" s="175"/>
      <c r="I18" s="174"/>
    </row>
    <row r="19" spans="1:9" ht="30" x14ac:dyDescent="0.25">
      <c r="A19" s="176" t="s">
        <v>95</v>
      </c>
      <c r="B19" s="171"/>
      <c r="C19" s="172"/>
      <c r="D19" s="173"/>
      <c r="E19" s="172"/>
      <c r="F19" s="173"/>
      <c r="G19" s="174"/>
      <c r="H19" s="175"/>
      <c r="I19" s="174"/>
    </row>
    <row r="20" spans="1:9" x14ac:dyDescent="0.25">
      <c r="A20" s="176" t="s">
        <v>22</v>
      </c>
      <c r="B20" s="171">
        <v>4.632E-2</v>
      </c>
      <c r="C20" s="172">
        <v>2694</v>
      </c>
      <c r="D20" s="173">
        <v>4.632E-2</v>
      </c>
      <c r="E20" s="172">
        <v>2542</v>
      </c>
      <c r="F20" s="173">
        <v>4.8062000000000001E-2</v>
      </c>
      <c r="G20" s="174">
        <v>2692.1</v>
      </c>
      <c r="H20" s="167">
        <f t="shared" si="0"/>
        <v>1.037607944732297</v>
      </c>
      <c r="I20" s="167">
        <f t="shared" si="0"/>
        <v>1.0590479937057435</v>
      </c>
    </row>
    <row r="21" spans="1:9" x14ac:dyDescent="0.25">
      <c r="A21" s="176" t="s">
        <v>338</v>
      </c>
      <c r="B21" s="171">
        <v>2.6339999999999999E-2</v>
      </c>
      <c r="C21" s="172">
        <v>3788.7</v>
      </c>
      <c r="D21" s="173">
        <v>2.6339999999999999E-2</v>
      </c>
      <c r="E21" s="172">
        <v>3575</v>
      </c>
      <c r="F21" s="173">
        <v>1.7312999999999999E-2</v>
      </c>
      <c r="G21" s="174">
        <v>3675.9</v>
      </c>
      <c r="H21" s="167">
        <f t="shared" si="0"/>
        <v>0.65728929384965828</v>
      </c>
      <c r="I21" s="167">
        <f t="shared" si="0"/>
        <v>1.0282237762237763</v>
      </c>
    </row>
    <row r="22" spans="1:9" x14ac:dyDescent="0.25">
      <c r="A22" s="176" t="s">
        <v>25</v>
      </c>
      <c r="B22" s="171">
        <v>8.2860000000000003E-2</v>
      </c>
      <c r="C22" s="172">
        <v>521.5</v>
      </c>
      <c r="D22" s="173">
        <v>8.2860000000000003E-2</v>
      </c>
      <c r="E22" s="172">
        <v>492.1</v>
      </c>
      <c r="F22" s="173">
        <v>9.0371000000000007E-2</v>
      </c>
      <c r="G22" s="174">
        <v>543.6</v>
      </c>
      <c r="H22" s="167">
        <f t="shared" si="0"/>
        <v>1.0906468742457156</v>
      </c>
      <c r="I22" s="167">
        <f t="shared" si="0"/>
        <v>1.1046535257061574</v>
      </c>
    </row>
    <row r="23" spans="1:9" x14ac:dyDescent="0.25">
      <c r="A23" s="176" t="s">
        <v>397</v>
      </c>
      <c r="B23" s="171">
        <v>2.9940000000000001E-2</v>
      </c>
      <c r="C23" s="172">
        <v>978.5</v>
      </c>
      <c r="D23" s="173">
        <v>2.9940000000000001E-2</v>
      </c>
      <c r="E23" s="172">
        <v>923.3</v>
      </c>
      <c r="F23" s="173">
        <v>2.9446E-2</v>
      </c>
      <c r="G23" s="174">
        <v>996.8</v>
      </c>
      <c r="H23" s="167">
        <f t="shared" si="0"/>
        <v>0.98350033400133596</v>
      </c>
      <c r="I23" s="167">
        <f t="shared" si="0"/>
        <v>1.0796057619408643</v>
      </c>
    </row>
    <row r="24" spans="1:9" ht="30" x14ac:dyDescent="0.25">
      <c r="A24" s="176" t="s">
        <v>398</v>
      </c>
      <c r="B24" s="171">
        <v>9.2000000000000003E-4</v>
      </c>
      <c r="C24" s="172">
        <v>8662.9</v>
      </c>
      <c r="D24" s="173">
        <v>9.2000000000000003E-4</v>
      </c>
      <c r="E24" s="172">
        <v>8174.2</v>
      </c>
      <c r="F24" s="173">
        <v>9.7400000000000004E-4</v>
      </c>
      <c r="G24" s="174">
        <v>8371.1</v>
      </c>
      <c r="H24" s="167">
        <f t="shared" si="0"/>
        <v>1.058695652173913</v>
      </c>
      <c r="I24" s="167">
        <f t="shared" si="0"/>
        <v>1.0240879841452375</v>
      </c>
    </row>
    <row r="25" spans="1:9" ht="45" x14ac:dyDescent="0.25">
      <c r="A25" s="176" t="s">
        <v>399</v>
      </c>
      <c r="B25" s="171">
        <v>1.321E-2</v>
      </c>
      <c r="C25" s="172">
        <v>2142.1</v>
      </c>
      <c r="D25" s="173">
        <v>1.321E-2</v>
      </c>
      <c r="E25" s="172">
        <v>2021.3</v>
      </c>
      <c r="F25" s="175">
        <v>1.321E-2</v>
      </c>
      <c r="G25" s="174">
        <v>2064.5</v>
      </c>
      <c r="H25" s="167">
        <f t="shared" si="0"/>
        <v>1</v>
      </c>
      <c r="I25" s="167">
        <f t="shared" si="0"/>
        <v>1.0213723841092366</v>
      </c>
    </row>
    <row r="26" spans="1:9" x14ac:dyDescent="0.25">
      <c r="A26" s="176" t="s">
        <v>29</v>
      </c>
      <c r="B26" s="171">
        <v>8.9870000000000005E-2</v>
      </c>
      <c r="C26" s="172">
        <v>636.4</v>
      </c>
      <c r="D26" s="173">
        <v>0.12837999999999999</v>
      </c>
      <c r="E26" s="172">
        <v>600.5</v>
      </c>
      <c r="F26" s="173">
        <v>0.275507</v>
      </c>
      <c r="G26" s="174">
        <v>399.6</v>
      </c>
      <c r="H26" s="167">
        <f t="shared" si="0"/>
        <v>2.1460274186010282</v>
      </c>
      <c r="I26" s="167">
        <f t="shared" si="0"/>
        <v>0.6654454621149043</v>
      </c>
    </row>
    <row r="27" spans="1:9" ht="21.75" customHeight="1" x14ac:dyDescent="0.25">
      <c r="A27" s="176" t="s">
        <v>103</v>
      </c>
      <c r="B27" s="171"/>
      <c r="C27" s="172"/>
      <c r="D27" s="173">
        <v>0.26173600000000002</v>
      </c>
      <c r="E27" s="172">
        <v>1268.5999999999999</v>
      </c>
      <c r="F27" s="173">
        <v>0.26173600000000002</v>
      </c>
      <c r="G27" s="174">
        <v>1268.5999999999999</v>
      </c>
      <c r="H27" s="175">
        <f t="shared" si="0"/>
        <v>1</v>
      </c>
      <c r="I27" s="174">
        <f t="shared" si="0"/>
        <v>1</v>
      </c>
    </row>
    <row r="28" spans="1:9" ht="42.75" x14ac:dyDescent="0.25">
      <c r="A28" s="170" t="s">
        <v>400</v>
      </c>
      <c r="B28" s="171">
        <v>7.0957000000000006E-2</v>
      </c>
      <c r="C28" s="172">
        <v>25032.799999999999</v>
      </c>
      <c r="D28" s="173">
        <v>7.0943000000000006E-2</v>
      </c>
      <c r="E28" s="172">
        <v>23885.9</v>
      </c>
      <c r="F28" s="173">
        <v>7.0132E-2</v>
      </c>
      <c r="G28" s="174">
        <v>25780.5</v>
      </c>
      <c r="H28" s="167">
        <f t="shared" si="0"/>
        <v>0.9885682872164977</v>
      </c>
      <c r="I28" s="167">
        <f t="shared" si="0"/>
        <v>1.0793187612775736</v>
      </c>
    </row>
    <row r="29" spans="1:9" x14ac:dyDescent="0.25">
      <c r="A29" s="176" t="s">
        <v>393</v>
      </c>
      <c r="B29" s="171"/>
      <c r="C29" s="172"/>
      <c r="D29" s="173"/>
      <c r="E29" s="172"/>
      <c r="F29" s="173"/>
      <c r="G29" s="174"/>
      <c r="H29" s="175"/>
      <c r="I29" s="174"/>
    </row>
    <row r="30" spans="1:9" ht="30" x14ac:dyDescent="0.25">
      <c r="A30" s="176" t="s">
        <v>105</v>
      </c>
      <c r="B30" s="171">
        <v>2.3519999999999999E-3</v>
      </c>
      <c r="C30" s="172">
        <v>46166.5</v>
      </c>
      <c r="D30" s="173">
        <v>2.3519999999999999E-3</v>
      </c>
      <c r="E30" s="172">
        <v>44102.9</v>
      </c>
      <c r="F30" s="173">
        <v>2.2690000000000002E-3</v>
      </c>
      <c r="G30" s="174">
        <v>47678.6</v>
      </c>
      <c r="H30" s="167">
        <f t="shared" si="0"/>
        <v>0.96471088435374164</v>
      </c>
      <c r="I30" s="167">
        <f t="shared" si="0"/>
        <v>1.081076301104916</v>
      </c>
    </row>
    <row r="31" spans="1:9" ht="30" x14ac:dyDescent="0.25">
      <c r="A31" s="176" t="s">
        <v>106</v>
      </c>
      <c r="B31" s="171">
        <v>6.8604999999999999E-2</v>
      </c>
      <c r="C31" s="172">
        <v>24308.3</v>
      </c>
      <c r="D31" s="173">
        <v>6.8590999999999999E-2</v>
      </c>
      <c r="E31" s="172">
        <v>23192.7</v>
      </c>
      <c r="F31" s="173">
        <v>6.7863000000000007E-2</v>
      </c>
      <c r="G31" s="174">
        <v>25048.5</v>
      </c>
      <c r="H31" s="167">
        <f t="shared" si="0"/>
        <v>0.98938636264232926</v>
      </c>
      <c r="I31" s="167">
        <f t="shared" si="0"/>
        <v>1.0800165569338627</v>
      </c>
    </row>
    <row r="32" spans="1:9" x14ac:dyDescent="0.25">
      <c r="A32" s="176" t="s">
        <v>401</v>
      </c>
      <c r="B32" s="171">
        <v>9.3880000000000005E-3</v>
      </c>
      <c r="C32" s="172">
        <v>83066.100000000006</v>
      </c>
      <c r="D32" s="173">
        <v>9.3880000000000005E-3</v>
      </c>
      <c r="E32" s="172">
        <v>79186.3</v>
      </c>
      <c r="F32" s="173">
        <v>1.0888E-2</v>
      </c>
      <c r="G32" s="174">
        <v>77506.3</v>
      </c>
      <c r="H32" s="167">
        <f t="shared" si="0"/>
        <v>1.1597784405624201</v>
      </c>
      <c r="I32" s="167">
        <f>+IF(E32&gt;0,G32/E32)</f>
        <v>0.9787842088846177</v>
      </c>
    </row>
    <row r="33" spans="1:9" x14ac:dyDescent="0.25">
      <c r="A33" s="176" t="s">
        <v>393</v>
      </c>
      <c r="B33" s="171"/>
      <c r="C33" s="172"/>
      <c r="D33" s="173"/>
      <c r="E33" s="172"/>
      <c r="F33" s="173"/>
      <c r="G33" s="174"/>
      <c r="H33" s="175"/>
      <c r="I33" s="174"/>
    </row>
    <row r="34" spans="1:9" x14ac:dyDescent="0.25">
      <c r="A34" s="176" t="s">
        <v>108</v>
      </c>
      <c r="B34" s="171">
        <v>3.8099999999999999E-4</v>
      </c>
      <c r="C34" s="172">
        <v>83066.100000000006</v>
      </c>
      <c r="D34" s="173">
        <v>3.8099999999999999E-4</v>
      </c>
      <c r="E34" s="172">
        <v>79186.3</v>
      </c>
      <c r="F34" s="173">
        <v>3.8099999999999999E-4</v>
      </c>
      <c r="G34" s="174">
        <v>83937.5</v>
      </c>
      <c r="H34" s="167">
        <f t="shared" si="0"/>
        <v>1</v>
      </c>
      <c r="I34" s="167">
        <f t="shared" si="0"/>
        <v>1.0600002778258359</v>
      </c>
    </row>
    <row r="35" spans="1:9" ht="30" x14ac:dyDescent="0.25">
      <c r="A35" s="176" t="s">
        <v>109</v>
      </c>
      <c r="B35" s="171">
        <v>9.0069999999999994E-3</v>
      </c>
      <c r="C35" s="172">
        <v>83066.100000000006</v>
      </c>
      <c r="D35" s="173">
        <v>9.0069999999999994E-3</v>
      </c>
      <c r="E35" s="172">
        <v>79186.3</v>
      </c>
      <c r="F35" s="173">
        <v>1.0507000000000001E-2</v>
      </c>
      <c r="G35" s="174">
        <v>77273.100000000006</v>
      </c>
      <c r="H35" s="167">
        <f t="shared" si="0"/>
        <v>1.1665371377817255</v>
      </c>
      <c r="I35" s="167">
        <f t="shared" si="0"/>
        <v>0.97583925502264912</v>
      </c>
    </row>
    <row r="36" spans="1:9" ht="30" x14ac:dyDescent="0.25">
      <c r="A36" s="176" t="s">
        <v>110</v>
      </c>
      <c r="B36" s="171">
        <v>5.3600000000000002E-4</v>
      </c>
      <c r="C36" s="172">
        <v>127729.3</v>
      </c>
      <c r="D36" s="173">
        <v>5.22E-4</v>
      </c>
      <c r="E36" s="172">
        <v>127809.8</v>
      </c>
      <c r="F36" s="173">
        <v>6.1899999999999998E-4</v>
      </c>
      <c r="G36" s="174">
        <v>127328.6</v>
      </c>
      <c r="H36" s="167">
        <f t="shared" si="0"/>
        <v>1.185823754789272</v>
      </c>
      <c r="I36" s="167">
        <f t="shared" si="0"/>
        <v>0.99623503049061968</v>
      </c>
    </row>
    <row r="37" spans="1:9" x14ac:dyDescent="0.25">
      <c r="A37" s="176" t="s">
        <v>393</v>
      </c>
      <c r="B37" s="171"/>
      <c r="C37" s="172"/>
      <c r="D37" s="173"/>
      <c r="E37" s="172"/>
      <c r="F37" s="173"/>
      <c r="G37" s="174"/>
      <c r="H37" s="175"/>
      <c r="I37" s="174"/>
    </row>
    <row r="38" spans="1:9" x14ac:dyDescent="0.25">
      <c r="A38" s="176" t="s">
        <v>108</v>
      </c>
      <c r="B38" s="171">
        <v>5.8999999999999998E-5</v>
      </c>
      <c r="C38" s="172">
        <v>151989.9</v>
      </c>
      <c r="D38" s="173">
        <v>5.8999999999999998E-5</v>
      </c>
      <c r="E38" s="172">
        <v>151989.9</v>
      </c>
      <c r="F38" s="173">
        <v>5.8999999999999998E-5</v>
      </c>
      <c r="G38" s="174">
        <v>151989.9</v>
      </c>
      <c r="H38" s="167">
        <f t="shared" si="0"/>
        <v>1</v>
      </c>
      <c r="I38" s="167">
        <f t="shared" si="0"/>
        <v>1</v>
      </c>
    </row>
    <row r="39" spans="1:9" ht="30" x14ac:dyDescent="0.25">
      <c r="A39" s="176" t="s">
        <v>109</v>
      </c>
      <c r="B39" s="171">
        <v>4.7699999999999999E-4</v>
      </c>
      <c r="C39" s="172">
        <v>124728.5</v>
      </c>
      <c r="D39" s="173">
        <v>4.6299999999999998E-4</v>
      </c>
      <c r="E39" s="172">
        <v>124728.5</v>
      </c>
      <c r="F39" s="173">
        <v>5.5999999999999995E-4</v>
      </c>
      <c r="G39" s="174">
        <v>124728.5</v>
      </c>
      <c r="H39" s="167">
        <f t="shared" si="0"/>
        <v>1.2095032397408207</v>
      </c>
      <c r="I39" s="167">
        <f t="shared" si="0"/>
        <v>1</v>
      </c>
    </row>
    <row r="40" spans="1:9" ht="42.75" x14ac:dyDescent="0.25">
      <c r="A40" s="170" t="s">
        <v>402</v>
      </c>
      <c r="B40" s="171">
        <v>0.177541</v>
      </c>
      <c r="C40" s="172">
        <v>41692.699999999997</v>
      </c>
      <c r="D40" s="173">
        <v>0.177535</v>
      </c>
      <c r="E40" s="172">
        <v>39385</v>
      </c>
      <c r="F40" s="173">
        <v>0.17482400000000001</v>
      </c>
      <c r="G40" s="174">
        <v>41858.1</v>
      </c>
      <c r="H40" s="167">
        <f t="shared" si="0"/>
        <v>0.98472977159433361</v>
      </c>
      <c r="I40" s="167">
        <f t="shared" si="0"/>
        <v>1.0627929414751809</v>
      </c>
    </row>
    <row r="41" spans="1:9" x14ac:dyDescent="0.25">
      <c r="A41" s="176" t="s">
        <v>393</v>
      </c>
      <c r="B41" s="171"/>
      <c r="C41" s="172"/>
      <c r="D41" s="173"/>
      <c r="E41" s="172"/>
      <c r="F41" s="173"/>
      <c r="G41" s="174"/>
      <c r="H41" s="175"/>
      <c r="I41" s="174"/>
    </row>
    <row r="42" spans="1:9" x14ac:dyDescent="0.25">
      <c r="A42" s="176" t="s">
        <v>108</v>
      </c>
      <c r="B42" s="171">
        <v>1.1199000000000001E-2</v>
      </c>
      <c r="C42" s="172">
        <v>74053.600000000006</v>
      </c>
      <c r="D42" s="173">
        <v>1.1199000000000001E-2</v>
      </c>
      <c r="E42" s="172">
        <v>70119</v>
      </c>
      <c r="F42" s="173">
        <v>1.0239E-2</v>
      </c>
      <c r="G42" s="174">
        <v>72505.399999999994</v>
      </c>
      <c r="H42" s="167">
        <f t="shared" si="0"/>
        <v>0.91427806054111971</v>
      </c>
      <c r="I42" s="167">
        <f t="shared" si="0"/>
        <v>1.0340335714998787</v>
      </c>
    </row>
    <row r="43" spans="1:9" ht="30" x14ac:dyDescent="0.25">
      <c r="A43" s="176" t="s">
        <v>109</v>
      </c>
      <c r="B43" s="171">
        <v>0.16634199999999999</v>
      </c>
      <c r="C43" s="172">
        <v>39514</v>
      </c>
      <c r="D43" s="173">
        <v>0.16633600000000001</v>
      </c>
      <c r="E43" s="172">
        <v>37316</v>
      </c>
      <c r="F43" s="173">
        <v>0.16458500000000001</v>
      </c>
      <c r="G43" s="174">
        <v>39951.5</v>
      </c>
      <c r="H43" s="167">
        <f t="shared" si="0"/>
        <v>0.9894731146594844</v>
      </c>
      <c r="I43" s="167">
        <f t="shared" si="0"/>
        <v>1.0706265408939866</v>
      </c>
    </row>
    <row r="44" spans="1:9" x14ac:dyDescent="0.25">
      <c r="A44" s="176" t="s">
        <v>403</v>
      </c>
      <c r="B44" s="171">
        <v>1.0581999999999999E-2</v>
      </c>
      <c r="C44" s="172">
        <v>107923.1</v>
      </c>
      <c r="D44" s="173">
        <v>1.0581999999999999E-2</v>
      </c>
      <c r="E44" s="172">
        <v>102276</v>
      </c>
      <c r="F44" s="173">
        <v>9.6959999999999998E-3</v>
      </c>
      <c r="G44" s="174">
        <v>104007.1</v>
      </c>
      <c r="H44" s="167">
        <f t="shared" si="0"/>
        <v>0.91627291627291629</v>
      </c>
      <c r="I44" s="167">
        <f t="shared" si="0"/>
        <v>1.0169257694864875</v>
      </c>
    </row>
    <row r="45" spans="1:9" x14ac:dyDescent="0.25">
      <c r="A45" s="176" t="s">
        <v>393</v>
      </c>
      <c r="B45" s="171"/>
      <c r="C45" s="172"/>
      <c r="D45" s="173"/>
      <c r="E45" s="172"/>
      <c r="F45" s="173"/>
      <c r="G45" s="174"/>
      <c r="H45" s="175"/>
      <c r="I45" s="174"/>
    </row>
    <row r="46" spans="1:9" x14ac:dyDescent="0.25">
      <c r="A46" s="176" t="s">
        <v>108</v>
      </c>
      <c r="B46" s="171">
        <v>1.0939999999999999E-3</v>
      </c>
      <c r="C46" s="172">
        <v>117311.6</v>
      </c>
      <c r="D46" s="173">
        <v>1.0939999999999999E-3</v>
      </c>
      <c r="E46" s="172">
        <v>111173.1</v>
      </c>
      <c r="F46" s="173">
        <v>1.0939999999999999E-3</v>
      </c>
      <c r="G46" s="174">
        <v>117843.5</v>
      </c>
      <c r="H46" s="167">
        <f t="shared" si="0"/>
        <v>1</v>
      </c>
      <c r="I46" s="167">
        <f t="shared" si="0"/>
        <v>1.0600001259297438</v>
      </c>
    </row>
    <row r="47" spans="1:9" ht="30" x14ac:dyDescent="0.25">
      <c r="A47" s="176" t="s">
        <v>109</v>
      </c>
      <c r="B47" s="171">
        <v>9.4879999999999999E-3</v>
      </c>
      <c r="C47" s="172">
        <v>106840.6</v>
      </c>
      <c r="D47" s="173">
        <v>9.4879999999999999E-3</v>
      </c>
      <c r="E47" s="172">
        <v>101250.1</v>
      </c>
      <c r="F47" s="173">
        <v>8.6020000000000003E-3</v>
      </c>
      <c r="G47" s="174">
        <v>102247.4</v>
      </c>
      <c r="H47" s="167">
        <f t="shared" si="0"/>
        <v>0.90661888701517712</v>
      </c>
      <c r="I47" s="167">
        <f t="shared" si="0"/>
        <v>1.0098498668149463</v>
      </c>
    </row>
    <row r="48" spans="1:9" x14ac:dyDescent="0.25">
      <c r="A48" s="170" t="s">
        <v>404</v>
      </c>
      <c r="B48" s="171"/>
      <c r="C48" s="172"/>
      <c r="D48" s="173"/>
      <c r="E48" s="172"/>
      <c r="F48" s="173"/>
      <c r="G48" s="174"/>
      <c r="H48" s="175"/>
      <c r="I48" s="174"/>
    </row>
    <row r="49" spans="1:9" x14ac:dyDescent="0.25">
      <c r="A49" s="176" t="s">
        <v>114</v>
      </c>
      <c r="B49" s="171">
        <v>2.9399999999999999E-3</v>
      </c>
      <c r="C49" s="172">
        <v>19555.400000000001</v>
      </c>
      <c r="D49" s="173">
        <v>2.8700000000000002E-3</v>
      </c>
      <c r="E49" s="172">
        <v>18438.400000000001</v>
      </c>
      <c r="F49" s="173">
        <v>2.954E-3</v>
      </c>
      <c r="G49" s="174">
        <v>19906</v>
      </c>
      <c r="H49" s="167">
        <f t="shared" si="0"/>
        <v>1.0292682926829269</v>
      </c>
      <c r="I49" s="167">
        <f t="shared" si="0"/>
        <v>1.0795947587643178</v>
      </c>
    </row>
    <row r="50" spans="1:9" ht="39" customHeight="1" x14ac:dyDescent="0.25">
      <c r="A50" s="176" t="s">
        <v>115</v>
      </c>
      <c r="B50" s="171"/>
      <c r="C50" s="172"/>
      <c r="D50" s="173"/>
      <c r="E50" s="172"/>
      <c r="F50" s="173">
        <v>2.823E-3</v>
      </c>
      <c r="G50" s="174">
        <v>24094.1</v>
      </c>
      <c r="H50" s="175"/>
      <c r="I50" s="174"/>
    </row>
    <row r="51" spans="1:9" x14ac:dyDescent="0.25">
      <c r="A51" s="176" t="s">
        <v>108</v>
      </c>
      <c r="B51" s="171"/>
      <c r="C51" s="172"/>
      <c r="D51" s="173"/>
      <c r="E51" s="172"/>
      <c r="F51" s="173">
        <v>2.22E-4</v>
      </c>
      <c r="G51" s="174">
        <v>26212.1</v>
      </c>
      <c r="H51" s="175"/>
      <c r="I51" s="174"/>
    </row>
    <row r="52" spans="1:9" ht="30" x14ac:dyDescent="0.25">
      <c r="A52" s="176" t="s">
        <v>109</v>
      </c>
      <c r="B52" s="171"/>
      <c r="C52" s="172"/>
      <c r="D52" s="173"/>
      <c r="E52" s="172"/>
      <c r="F52" s="173">
        <v>2.601E-3</v>
      </c>
      <c r="G52" s="174">
        <v>23913.5</v>
      </c>
      <c r="H52" s="175"/>
      <c r="I52" s="174"/>
    </row>
    <row r="53" spans="1:9" ht="30" x14ac:dyDescent="0.25">
      <c r="A53" s="176" t="s">
        <v>116</v>
      </c>
      <c r="B53" s="171">
        <v>5.4029999999999998E-3</v>
      </c>
      <c r="C53" s="172">
        <v>44623.6</v>
      </c>
      <c r="D53" s="173">
        <v>5.4029999999999998E-3</v>
      </c>
      <c r="E53" s="172">
        <v>42288.7</v>
      </c>
      <c r="F53" s="173">
        <v>6.8040000000000002E-3</v>
      </c>
      <c r="G53" s="174">
        <v>47371.6</v>
      </c>
      <c r="H53" s="167">
        <f t="shared" si="0"/>
        <v>1.2593003886729595</v>
      </c>
      <c r="I53" s="167">
        <f t="shared" si="0"/>
        <v>1.1201952294584605</v>
      </c>
    </row>
    <row r="54" spans="1:9" x14ac:dyDescent="0.25">
      <c r="A54" s="176" t="s">
        <v>108</v>
      </c>
      <c r="B54" s="171">
        <v>9.6000000000000002E-4</v>
      </c>
      <c r="C54" s="172">
        <v>62332.6</v>
      </c>
      <c r="D54" s="173">
        <v>9.6000000000000002E-4</v>
      </c>
      <c r="E54" s="172">
        <v>59071</v>
      </c>
      <c r="F54" s="173">
        <v>1.3780000000000001E-3</v>
      </c>
      <c r="G54" s="174">
        <v>62615.3</v>
      </c>
      <c r="H54" s="167">
        <f t="shared" si="0"/>
        <v>1.4354166666666668</v>
      </c>
      <c r="I54" s="167">
        <f t="shared" si="0"/>
        <v>1.0600006771512249</v>
      </c>
    </row>
    <row r="55" spans="1:9" ht="30" x14ac:dyDescent="0.25">
      <c r="A55" s="176" t="s">
        <v>109</v>
      </c>
      <c r="B55" s="171">
        <v>4.4429999999999999E-3</v>
      </c>
      <c r="C55" s="172">
        <v>40797.199999999997</v>
      </c>
      <c r="D55" s="173">
        <v>4.4429999999999999E-3</v>
      </c>
      <c r="E55" s="172">
        <v>38662.5</v>
      </c>
      <c r="F55" s="173">
        <v>5.4260000000000003E-3</v>
      </c>
      <c r="G55" s="174">
        <v>43499.8</v>
      </c>
      <c r="H55" s="167">
        <f t="shared" si="0"/>
        <v>1.2212469052442045</v>
      </c>
      <c r="I55" s="167">
        <f t="shared" si="0"/>
        <v>1.1251160685418689</v>
      </c>
    </row>
  </sheetData>
  <autoFilter ref="A4:I55" xr:uid="{00000000-0009-0000-0000-000013000000}"/>
  <mergeCells count="8">
    <mergeCell ref="A2:A4"/>
    <mergeCell ref="B2:C2"/>
    <mergeCell ref="D2:E2"/>
    <mergeCell ref="F2:G2"/>
    <mergeCell ref="H2:I2"/>
    <mergeCell ref="B3:C3"/>
    <mergeCell ref="D3:E3"/>
    <mergeCell ref="F3:G3"/>
  </mergeCells>
  <conditionalFormatting sqref="H1:I5 H53:I1048576">
    <cfRule type="cellIs" dxfId="4" priority="1" operator="lessThan">
      <formula>1</formula>
    </cfRule>
    <cfRule type="cellIs" dxfId="3" priority="2" operator="greaterThan">
      <formula>1</formula>
    </cfRule>
  </conditionalFormatting>
  <conditionalFormatting sqref="H11:I12 I14 H15:I17 H20:I26 H28:I28 H30:I32 H34:I36 H38:I40 H42:I44 H46:I47 H49:I49 H1:H5 I5 I53:I55 H53:H1048576">
    <cfRule type="cellIs" dxfId="2" priority="5" operator="greaterThan">
      <formula>1</formula>
    </cfRule>
  </conditionalFormatting>
  <conditionalFormatting sqref="H11:I12 I14 H15:I17 H20:I26 H28:I28 H30:I32 H34:I36 H38:I40 H42:I44 H46:I47 H49:I49">
    <cfRule type="cellIs" dxfId="1" priority="3" operator="greaterThan">
      <formula>1</formula>
    </cfRule>
    <cfRule type="cellIs" dxfId="0" priority="4" operator="lessThan">
      <formula>1</formula>
    </cfRule>
  </conditionalFormatting>
  <pageMargins left="0.19685039370078741" right="0.19685039370078741" top="0.23622047244094491" bottom="0.19685039370078741" header="0.15748031496062992" footer="0.15748031496062992"/>
  <pageSetup paperSize="9" scale="7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2A59-FC07-4FCE-BEB2-C1C8B4DA6CF9}">
  <dimension ref="A1:H40"/>
  <sheetViews>
    <sheetView topLeftCell="A13" workbookViewId="0">
      <selection activeCell="D49" sqref="D49"/>
    </sheetView>
  </sheetViews>
  <sheetFormatPr defaultRowHeight="12.75" x14ac:dyDescent="0.2"/>
  <cols>
    <col min="1" max="1" width="41.28515625" customWidth="1"/>
    <col min="2" max="2" width="40.140625" customWidth="1"/>
    <col min="3" max="3" width="27.5703125" customWidth="1"/>
    <col min="4" max="8" width="20.140625" customWidth="1"/>
  </cols>
  <sheetData>
    <row r="1" spans="1:8" x14ac:dyDescent="0.2">
      <c r="A1" s="1739" t="s">
        <v>664</v>
      </c>
      <c r="B1" s="1739"/>
      <c r="C1" s="1739"/>
      <c r="D1" s="1739"/>
      <c r="E1" s="1739"/>
      <c r="F1" s="1739"/>
      <c r="G1" s="1739"/>
      <c r="H1" s="1739"/>
    </row>
    <row r="3" spans="1:8" ht="30" x14ac:dyDescent="0.2">
      <c r="A3" s="663" t="s">
        <v>665</v>
      </c>
      <c r="B3" s="663" t="s">
        <v>666</v>
      </c>
      <c r="C3" s="663" t="s">
        <v>667</v>
      </c>
    </row>
    <row r="4" spans="1:8" ht="51" x14ac:dyDescent="0.2">
      <c r="A4" s="573" t="s">
        <v>668</v>
      </c>
      <c r="B4" s="664">
        <v>1357.96</v>
      </c>
      <c r="C4" s="573" t="s">
        <v>669</v>
      </c>
      <c r="F4" s="665"/>
      <c r="G4" s="190"/>
    </row>
    <row r="5" spans="1:8" ht="51" x14ac:dyDescent="0.2">
      <c r="A5" s="573" t="s">
        <v>670</v>
      </c>
      <c r="B5" s="664">
        <v>1124.1099999999999</v>
      </c>
      <c r="C5" s="573" t="s">
        <v>671</v>
      </c>
      <c r="F5" s="665"/>
      <c r="G5" s="190"/>
    </row>
    <row r="6" spans="1:8" ht="51" x14ac:dyDescent="0.2">
      <c r="A6" s="573" t="s">
        <v>672</v>
      </c>
      <c r="B6" s="664">
        <v>1780.52</v>
      </c>
      <c r="C6" s="573" t="s">
        <v>673</v>
      </c>
      <c r="F6" s="665"/>
      <c r="G6" s="190"/>
    </row>
    <row r="8" spans="1:8" x14ac:dyDescent="0.2">
      <c r="A8" s="1739" t="s">
        <v>674</v>
      </c>
      <c r="B8" s="1739"/>
      <c r="C8" s="1739"/>
      <c r="D8" s="1739"/>
      <c r="E8" s="1739"/>
      <c r="F8" s="1739"/>
      <c r="G8" s="1739"/>
      <c r="H8" s="1739"/>
    </row>
    <row r="10" spans="1:8" ht="15" x14ac:dyDescent="0.2">
      <c r="A10" s="663" t="s">
        <v>675</v>
      </c>
      <c r="B10" s="663" t="s">
        <v>676</v>
      </c>
      <c r="C10" s="663" t="s">
        <v>677</v>
      </c>
      <c r="D10" s="663" t="s">
        <v>678</v>
      </c>
    </row>
    <row r="11" spans="1:8" x14ac:dyDescent="0.2">
      <c r="A11" s="573" t="s">
        <v>668</v>
      </c>
      <c r="B11" s="1740">
        <v>2024</v>
      </c>
      <c r="C11" s="1740">
        <v>1.04</v>
      </c>
      <c r="D11" s="153">
        <f>$B4*$C$11</f>
        <v>1412.2784000000001</v>
      </c>
    </row>
    <row r="12" spans="1:8" x14ac:dyDescent="0.2">
      <c r="A12" s="573" t="s">
        <v>670</v>
      </c>
      <c r="B12" s="1741"/>
      <c r="C12" s="1741"/>
      <c r="D12" s="153">
        <f>$B5*$C$11</f>
        <v>1169.0744</v>
      </c>
    </row>
    <row r="13" spans="1:8" x14ac:dyDescent="0.2">
      <c r="A13" s="573" t="s">
        <v>672</v>
      </c>
      <c r="B13" s="1742"/>
      <c r="C13" s="1742"/>
      <c r="D13" s="153">
        <f>$B6*$C$11</f>
        <v>1851.7408</v>
      </c>
    </row>
    <row r="14" spans="1:8" x14ac:dyDescent="0.2">
      <c r="A14" s="573" t="s">
        <v>668</v>
      </c>
      <c r="B14" s="1740">
        <v>2025</v>
      </c>
      <c r="C14" s="1740">
        <v>1.04</v>
      </c>
      <c r="D14" s="153">
        <f>D11*$C$14</f>
        <v>1468.7695360000002</v>
      </c>
    </row>
    <row r="15" spans="1:8" x14ac:dyDescent="0.2">
      <c r="A15" s="573" t="s">
        <v>670</v>
      </c>
      <c r="B15" s="1741"/>
      <c r="C15" s="1741"/>
      <c r="D15" s="153">
        <f>D12*$C$14</f>
        <v>1215.8373759999999</v>
      </c>
    </row>
    <row r="16" spans="1:8" x14ac:dyDescent="0.2">
      <c r="A16" s="573" t="s">
        <v>672</v>
      </c>
      <c r="B16" s="1742"/>
      <c r="C16" s="1742"/>
      <c r="D16" s="153">
        <f>D13*$C$14</f>
        <v>1925.810432</v>
      </c>
    </row>
    <row r="17" spans="1:8" x14ac:dyDescent="0.2">
      <c r="A17" s="573" t="s">
        <v>668</v>
      </c>
      <c r="B17" s="1740">
        <v>2026</v>
      </c>
      <c r="C17" s="1740">
        <v>1.04</v>
      </c>
      <c r="D17" s="153">
        <f>D14*$C$17</f>
        <v>1527.5203174400003</v>
      </c>
    </row>
    <row r="18" spans="1:8" x14ac:dyDescent="0.2">
      <c r="A18" s="573" t="s">
        <v>670</v>
      </c>
      <c r="B18" s="1741"/>
      <c r="C18" s="1741"/>
      <c r="D18" s="153">
        <f>D15*$C$17</f>
        <v>1264.47087104</v>
      </c>
    </row>
    <row r="19" spans="1:8" x14ac:dyDescent="0.2">
      <c r="A19" s="573" t="s">
        <v>672</v>
      </c>
      <c r="B19" s="1742"/>
      <c r="C19" s="1742"/>
      <c r="D19" s="153">
        <f>D16*$C$17</f>
        <v>2002.8428492800001</v>
      </c>
    </row>
    <row r="21" spans="1:8" x14ac:dyDescent="0.2">
      <c r="A21" s="1743" t="s">
        <v>679</v>
      </c>
      <c r="B21" s="1743"/>
      <c r="C21" s="1743"/>
      <c r="D21" s="1743"/>
      <c r="E21" s="1743"/>
      <c r="F21" s="1743"/>
      <c r="G21" s="1743"/>
      <c r="H21" s="1743"/>
    </row>
    <row r="23" spans="1:8" ht="60" x14ac:dyDescent="0.25">
      <c r="A23" s="666" t="s">
        <v>675</v>
      </c>
      <c r="B23" s="663" t="s">
        <v>680</v>
      </c>
      <c r="C23" s="663" t="s">
        <v>681</v>
      </c>
      <c r="D23" s="663" t="s">
        <v>682</v>
      </c>
      <c r="E23" s="663" t="s">
        <v>683</v>
      </c>
    </row>
    <row r="24" spans="1:8" x14ac:dyDescent="0.2">
      <c r="A24" s="573" t="s">
        <v>668</v>
      </c>
      <c r="B24" s="667">
        <v>290601</v>
      </c>
      <c r="C24" s="1744" t="s">
        <v>684</v>
      </c>
      <c r="D24" s="151">
        <f>B24/3</f>
        <v>96867</v>
      </c>
      <c r="E24" s="151">
        <v>94971</v>
      </c>
    </row>
    <row r="25" spans="1:8" x14ac:dyDescent="0.2">
      <c r="A25" s="573" t="s">
        <v>670</v>
      </c>
      <c r="B25" s="667">
        <v>4731606</v>
      </c>
      <c r="C25" s="1744"/>
      <c r="D25" s="151">
        <f t="shared" ref="D25:D26" si="0">B25/3</f>
        <v>1577202</v>
      </c>
      <c r="E25" s="151">
        <v>1546329</v>
      </c>
    </row>
    <row r="26" spans="1:8" x14ac:dyDescent="0.2">
      <c r="A26" s="128" t="s">
        <v>672</v>
      </c>
      <c r="B26" s="667">
        <v>50209</v>
      </c>
      <c r="C26" s="1744"/>
      <c r="D26" s="151">
        <f t="shared" si="0"/>
        <v>16736.333333333332</v>
      </c>
      <c r="E26" s="151">
        <v>16409</v>
      </c>
    </row>
    <row r="27" spans="1:8" ht="15" x14ac:dyDescent="0.25">
      <c r="A27" s="668" t="s">
        <v>451</v>
      </c>
      <c r="B27" s="669">
        <f>SUM(B24:B26)</f>
        <v>5072416</v>
      </c>
      <c r="C27" s="1744"/>
      <c r="D27" s="670">
        <f>SUM(D24:D26)</f>
        <v>1690805.3333333333</v>
      </c>
      <c r="E27" s="670">
        <f>SUM(E24:E26)</f>
        <v>1657709</v>
      </c>
      <c r="F27" s="671">
        <f>E27/D27</f>
        <v>0.98042569852314954</v>
      </c>
    </row>
    <row r="29" spans="1:8" x14ac:dyDescent="0.2">
      <c r="A29" s="1739" t="s">
        <v>685</v>
      </c>
      <c r="B29" s="1739"/>
      <c r="C29" s="1739"/>
      <c r="D29" s="1739"/>
      <c r="E29" s="1739"/>
      <c r="F29" s="1739"/>
      <c r="G29" s="1739"/>
      <c r="H29" s="1739"/>
    </row>
    <row r="31" spans="1:8" ht="45" x14ac:dyDescent="0.2">
      <c r="A31" s="663" t="s">
        <v>676</v>
      </c>
      <c r="B31" s="663" t="s">
        <v>675</v>
      </c>
      <c r="C31" s="663" t="s">
        <v>686</v>
      </c>
      <c r="D31" s="663" t="s">
        <v>678</v>
      </c>
      <c r="E31" s="1738" t="s">
        <v>687</v>
      </c>
      <c r="F31" s="1738"/>
      <c r="G31" s="663" t="s">
        <v>688</v>
      </c>
      <c r="H31" s="663" t="s">
        <v>688</v>
      </c>
    </row>
    <row r="32" spans="1:8" x14ac:dyDescent="0.2">
      <c r="A32" s="1733">
        <v>2024</v>
      </c>
      <c r="B32" s="573" t="s">
        <v>668</v>
      </c>
      <c r="C32" s="151">
        <f>E24</f>
        <v>94971</v>
      </c>
      <c r="D32" s="153">
        <f>D11</f>
        <v>1412.2784000000001</v>
      </c>
      <c r="E32" s="153">
        <f>C32*D32</f>
        <v>134125491.92640002</v>
      </c>
      <c r="F32" s="1734">
        <f>SUM(E32:E34)</f>
        <v>1972284354.5911999</v>
      </c>
      <c r="G32" s="1735">
        <f>F32/$E$27</f>
        <v>1189.7651243922787</v>
      </c>
      <c r="H32" s="673">
        <v>1189.77</v>
      </c>
    </row>
    <row r="33" spans="1:8" x14ac:dyDescent="0.2">
      <c r="A33" s="1733"/>
      <c r="B33" s="573" t="s">
        <v>670</v>
      </c>
      <c r="C33" s="151">
        <f t="shared" ref="C33:C34" si="1">E25</f>
        <v>1546329</v>
      </c>
      <c r="D33" s="153">
        <f t="shared" ref="D33:D40" si="2">D12</f>
        <v>1169.0744</v>
      </c>
      <c r="E33" s="153">
        <f t="shared" ref="E33:E40" si="3">C33*D33</f>
        <v>1807773647.8776</v>
      </c>
      <c r="F33" s="1734"/>
      <c r="G33" s="1736"/>
    </row>
    <row r="34" spans="1:8" x14ac:dyDescent="0.2">
      <c r="A34" s="1733"/>
      <c r="B34" s="573" t="s">
        <v>672</v>
      </c>
      <c r="C34" s="151">
        <f t="shared" si="1"/>
        <v>16409</v>
      </c>
      <c r="D34" s="153">
        <f t="shared" si="2"/>
        <v>1851.7408</v>
      </c>
      <c r="E34" s="153">
        <f t="shared" si="3"/>
        <v>30385214.7872</v>
      </c>
      <c r="F34" s="1734"/>
      <c r="G34" s="1737"/>
    </row>
    <row r="35" spans="1:8" ht="15" x14ac:dyDescent="0.25">
      <c r="A35" s="1733">
        <v>2025</v>
      </c>
      <c r="B35" s="573" t="s">
        <v>668</v>
      </c>
      <c r="C35" s="151">
        <f>E24</f>
        <v>94971</v>
      </c>
      <c r="D35" s="153">
        <f t="shared" si="2"/>
        <v>1468.7695360000002</v>
      </c>
      <c r="E35" s="153">
        <f t="shared" si="3"/>
        <v>139490511.60345602</v>
      </c>
      <c r="F35" s="1734">
        <f>SUM(E35:E37)</f>
        <v>2051175728.774848</v>
      </c>
      <c r="G35" s="1735">
        <f>F35/$E$27</f>
        <v>1237.3557293679698</v>
      </c>
      <c r="H35" s="672"/>
    </row>
    <row r="36" spans="1:8" ht="15" x14ac:dyDescent="0.25">
      <c r="A36" s="1733"/>
      <c r="B36" s="573" t="s">
        <v>670</v>
      </c>
      <c r="C36" s="151">
        <f t="shared" ref="C36:C37" si="4">E25</f>
        <v>1546329</v>
      </c>
      <c r="D36" s="153">
        <f t="shared" si="2"/>
        <v>1215.8373759999999</v>
      </c>
      <c r="E36" s="153">
        <f t="shared" si="3"/>
        <v>1880084593.7927039</v>
      </c>
      <c r="F36" s="1734"/>
      <c r="G36" s="1736"/>
      <c r="H36" s="672">
        <f>G35/G32</f>
        <v>1.04</v>
      </c>
    </row>
    <row r="37" spans="1:8" ht="15" x14ac:dyDescent="0.25">
      <c r="A37" s="1733"/>
      <c r="B37" s="573" t="s">
        <v>672</v>
      </c>
      <c r="C37" s="151">
        <f t="shared" si="4"/>
        <v>16409</v>
      </c>
      <c r="D37" s="153">
        <f t="shared" si="2"/>
        <v>1925.810432</v>
      </c>
      <c r="E37" s="153">
        <f t="shared" si="3"/>
        <v>31600623.378688</v>
      </c>
      <c r="F37" s="1734"/>
      <c r="G37" s="1737"/>
      <c r="H37" s="672"/>
    </row>
    <row r="38" spans="1:8" ht="15" x14ac:dyDescent="0.25">
      <c r="A38" s="1733">
        <v>2026</v>
      </c>
      <c r="B38" s="573" t="s">
        <v>668</v>
      </c>
      <c r="C38" s="151">
        <f>E24</f>
        <v>94971</v>
      </c>
      <c r="D38" s="153">
        <f t="shared" si="2"/>
        <v>1527.5203174400003</v>
      </c>
      <c r="E38" s="153">
        <f t="shared" si="3"/>
        <v>145070132.06759426</v>
      </c>
      <c r="F38" s="1734">
        <f>SUM(E38:E40)</f>
        <v>2133222757.925842</v>
      </c>
      <c r="G38" s="1735">
        <f>F38/$E$27</f>
        <v>1286.8499585426887</v>
      </c>
      <c r="H38" s="672"/>
    </row>
    <row r="39" spans="1:8" ht="15" x14ac:dyDescent="0.25">
      <c r="A39" s="1733"/>
      <c r="B39" s="573" t="s">
        <v>670</v>
      </c>
      <c r="C39" s="151">
        <f t="shared" ref="C39:C40" si="5">E25</f>
        <v>1546329</v>
      </c>
      <c r="D39" s="153">
        <f t="shared" si="2"/>
        <v>1264.47087104</v>
      </c>
      <c r="E39" s="153">
        <f t="shared" si="3"/>
        <v>1955287977.5444121</v>
      </c>
      <c r="F39" s="1734"/>
      <c r="G39" s="1736"/>
      <c r="H39" s="672"/>
    </row>
    <row r="40" spans="1:8" ht="15" x14ac:dyDescent="0.25">
      <c r="A40" s="1733"/>
      <c r="B40" s="573" t="s">
        <v>672</v>
      </c>
      <c r="C40" s="151">
        <f t="shared" si="5"/>
        <v>16409</v>
      </c>
      <c r="D40" s="153">
        <f t="shared" si="2"/>
        <v>2002.8428492800001</v>
      </c>
      <c r="E40" s="153">
        <f t="shared" si="3"/>
        <v>32864648.31383552</v>
      </c>
      <c r="F40" s="1734"/>
      <c r="G40" s="1737"/>
      <c r="H40" s="672">
        <f>G38/G35</f>
        <v>1.04</v>
      </c>
    </row>
  </sheetData>
  <mergeCells count="21">
    <mergeCell ref="E31:F31"/>
    <mergeCell ref="A1:H1"/>
    <mergeCell ref="A8:H8"/>
    <mergeCell ref="B11:B13"/>
    <mergeCell ref="C11:C13"/>
    <mergeCell ref="B14:B16"/>
    <mergeCell ref="C14:C16"/>
    <mergeCell ref="B17:B19"/>
    <mergeCell ref="C17:C19"/>
    <mergeCell ref="A21:H21"/>
    <mergeCell ref="C24:C27"/>
    <mergeCell ref="A29:H29"/>
    <mergeCell ref="A38:A40"/>
    <mergeCell ref="F38:F40"/>
    <mergeCell ref="G38:G40"/>
    <mergeCell ref="A32:A34"/>
    <mergeCell ref="F32:F34"/>
    <mergeCell ref="G32:G34"/>
    <mergeCell ref="A35:A37"/>
    <mergeCell ref="F35:F37"/>
    <mergeCell ref="G35:G37"/>
  </mergeCells>
  <hyperlinks>
    <hyperlink ref="C24:C27" r:id="rId1" display="M:\КСГ\Отдельные поручения\Эндокринология\!!!Расчеты школ диабета для МР и доклада президенту\расчеты диабета.xlsx" xr:uid="{2D49C1D2-1E41-4CA6-AD4E-FB2FEC24E446}"/>
  </hyperlinks>
  <pageMargins left="0.7" right="0.7" top="0.75" bottom="0.75" header="0.3" footer="0.3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I48"/>
  <sheetViews>
    <sheetView zoomScale="85" workbookViewId="0">
      <pane xSplit="2" ySplit="6" topLeftCell="G7" activePane="bottomRight" state="frozen"/>
      <selection activeCell="M6" sqref="M6"/>
      <selection pane="topRight" activeCell="M6" sqref="M6"/>
      <selection pane="bottomLeft" activeCell="M6" sqref="M6"/>
      <selection pane="bottomRight" activeCell="P3" sqref="P3:AA3"/>
    </sheetView>
  </sheetViews>
  <sheetFormatPr defaultColWidth="8.85546875" defaultRowHeight="12.75" x14ac:dyDescent="0.2"/>
  <cols>
    <col min="1" max="1" width="35.85546875" style="83" customWidth="1"/>
    <col min="2" max="2" width="12.7109375" style="83" customWidth="1"/>
    <col min="3" max="6" width="14.7109375" style="83" hidden="1" customWidth="1"/>
    <col min="7" max="7" width="16.5703125" style="83" customWidth="1"/>
    <col min="8" max="8" width="17.140625" style="83" hidden="1" customWidth="1"/>
    <col min="9" max="9" width="16.7109375" style="83" hidden="1" customWidth="1"/>
    <col min="10" max="10" width="16.28515625" style="83" hidden="1" customWidth="1"/>
    <col min="11" max="14" width="14.7109375" style="83" hidden="1" customWidth="1"/>
    <col min="15" max="15" width="19.28515625" style="83" hidden="1" customWidth="1"/>
    <col min="16" max="19" width="14.7109375" style="83" hidden="1" customWidth="1"/>
    <col min="20" max="20" width="14.7109375" style="83" customWidth="1"/>
    <col min="21" max="32" width="14.7109375" style="83" hidden="1" customWidth="1"/>
    <col min="33" max="33" width="16.5703125" style="83" customWidth="1"/>
    <col min="34" max="45" width="14.7109375" style="83" hidden="1" customWidth="1"/>
    <col min="46" max="46" width="16.42578125" style="83" bestFit="1" customWidth="1"/>
    <col min="47" max="48" width="14.7109375" style="83" hidden="1" customWidth="1"/>
    <col min="49" max="49" width="16.28515625" style="83" hidden="1" customWidth="1"/>
    <col min="50" max="53" width="14.7109375" style="83" hidden="1" customWidth="1"/>
    <col min="54" max="54" width="17.85546875" style="83" hidden="1" customWidth="1"/>
    <col min="55" max="58" width="14.7109375" style="83" hidden="1" customWidth="1"/>
    <col min="59" max="59" width="14.7109375" style="83" customWidth="1"/>
    <col min="60" max="71" width="14.7109375" style="83" hidden="1" customWidth="1"/>
    <col min="72" max="72" width="14.7109375" style="83" customWidth="1"/>
    <col min="73" max="106" width="14.7109375" style="83" hidden="1" customWidth="1"/>
    <col min="107" max="110" width="8.85546875" style="83"/>
    <col min="111" max="111" width="8.85546875" style="4"/>
    <col min="112" max="16384" width="8.85546875" style="83"/>
  </cols>
  <sheetData>
    <row r="1" spans="1:113" ht="14.25" x14ac:dyDescent="0.2">
      <c r="A1" s="1745" t="s">
        <v>134</v>
      </c>
      <c r="B1" s="1745"/>
      <c r="C1" s="1745"/>
      <c r="D1" s="1745"/>
      <c r="E1" s="1745"/>
      <c r="F1" s="1745"/>
      <c r="G1" s="1745"/>
      <c r="H1" s="1745"/>
      <c r="I1" s="1745"/>
      <c r="J1" s="1745"/>
      <c r="K1" s="1745"/>
      <c r="L1" s="1745"/>
      <c r="M1" s="1745"/>
      <c r="N1" s="1745"/>
      <c r="O1" s="1745"/>
      <c r="P1" s="1745"/>
    </row>
    <row r="2" spans="1:113" ht="15" customHeight="1" x14ac:dyDescent="0.25">
      <c r="A2" s="84" t="s">
        <v>135</v>
      </c>
      <c r="B2" s="553" t="s">
        <v>362</v>
      </c>
      <c r="M2" s="1746" t="s">
        <v>136</v>
      </c>
      <c r="N2" s="1746"/>
      <c r="O2" s="1746"/>
      <c r="P2" s="1746"/>
      <c r="S2" s="85" t="s">
        <v>137</v>
      </c>
    </row>
    <row r="3" spans="1:113" s="86" customFormat="1" ht="108" customHeight="1" x14ac:dyDescent="0.2">
      <c r="A3" s="1747" t="s">
        <v>138</v>
      </c>
      <c r="B3" s="1747" t="s">
        <v>139</v>
      </c>
      <c r="C3" s="1750" t="s">
        <v>140</v>
      </c>
      <c r="D3" s="1751"/>
      <c r="E3" s="1751"/>
      <c r="F3" s="1751"/>
      <c r="G3" s="1751"/>
      <c r="H3" s="1751"/>
      <c r="I3" s="1751"/>
      <c r="J3" s="1751"/>
      <c r="K3" s="1751"/>
      <c r="L3" s="1751"/>
      <c r="M3" s="1751"/>
      <c r="N3" s="1752"/>
      <c r="O3" s="1747" t="s">
        <v>141</v>
      </c>
      <c r="P3" s="1750" t="s">
        <v>142</v>
      </c>
      <c r="Q3" s="1751"/>
      <c r="R3" s="1751"/>
      <c r="S3" s="1751"/>
      <c r="T3" s="1751"/>
      <c r="U3" s="1751"/>
      <c r="V3" s="1751"/>
      <c r="W3" s="1751"/>
      <c r="X3" s="1751"/>
      <c r="Y3" s="1751"/>
      <c r="Z3" s="1751"/>
      <c r="AA3" s="1752"/>
      <c r="AB3" s="1747" t="s">
        <v>143</v>
      </c>
      <c r="AC3" s="1750" t="s">
        <v>144</v>
      </c>
      <c r="AD3" s="1751"/>
      <c r="AE3" s="1751"/>
      <c r="AF3" s="1751"/>
      <c r="AG3" s="1751"/>
      <c r="AH3" s="1751"/>
      <c r="AI3" s="1751"/>
      <c r="AJ3" s="1751"/>
      <c r="AK3" s="1751"/>
      <c r="AL3" s="1751"/>
      <c r="AM3" s="1751"/>
      <c r="AN3" s="1752"/>
      <c r="AO3" s="1747" t="s">
        <v>145</v>
      </c>
      <c r="AP3" s="1750" t="s">
        <v>146</v>
      </c>
      <c r="AQ3" s="1751"/>
      <c r="AR3" s="1751"/>
      <c r="AS3" s="1751"/>
      <c r="AT3" s="1751"/>
      <c r="AU3" s="1751"/>
      <c r="AV3" s="1751"/>
      <c r="AW3" s="1751"/>
      <c r="AX3" s="1751"/>
      <c r="AY3" s="1751"/>
      <c r="AZ3" s="1751"/>
      <c r="BA3" s="1752"/>
      <c r="BB3" s="1747" t="s">
        <v>147</v>
      </c>
      <c r="BC3" s="1750" t="s">
        <v>148</v>
      </c>
      <c r="BD3" s="1751"/>
      <c r="BE3" s="1751"/>
      <c r="BF3" s="1751"/>
      <c r="BG3" s="1751"/>
      <c r="BH3" s="1751"/>
      <c r="BI3" s="1751"/>
      <c r="BJ3" s="1751"/>
      <c r="BK3" s="1751"/>
      <c r="BL3" s="1751"/>
      <c r="BM3" s="1751"/>
      <c r="BN3" s="1752"/>
      <c r="BO3" s="1747" t="s">
        <v>149</v>
      </c>
      <c r="BP3" s="1750" t="s">
        <v>150</v>
      </c>
      <c r="BQ3" s="1751"/>
      <c r="BR3" s="1751"/>
      <c r="BS3" s="1751"/>
      <c r="BT3" s="1751"/>
      <c r="BU3" s="1751"/>
      <c r="BV3" s="1751"/>
      <c r="BW3" s="1751"/>
      <c r="BX3" s="1751"/>
      <c r="BY3" s="1751"/>
      <c r="BZ3" s="1751"/>
      <c r="CA3" s="1752"/>
      <c r="CB3" s="1747" t="s">
        <v>151</v>
      </c>
      <c r="CC3" s="1750" t="s">
        <v>152</v>
      </c>
      <c r="CD3" s="1751"/>
      <c r="CE3" s="1751"/>
      <c r="CF3" s="1751"/>
      <c r="CG3" s="1751"/>
      <c r="CH3" s="1751"/>
      <c r="CI3" s="1751"/>
      <c r="CJ3" s="1751"/>
      <c r="CK3" s="1751"/>
      <c r="CL3" s="1751"/>
      <c r="CM3" s="1751"/>
      <c r="CN3" s="1752"/>
      <c r="CO3" s="1747" t="s">
        <v>153</v>
      </c>
      <c r="CP3" s="1750" t="s">
        <v>154</v>
      </c>
      <c r="CQ3" s="1751"/>
      <c r="CR3" s="1751"/>
      <c r="CS3" s="1751"/>
      <c r="CT3" s="1751"/>
      <c r="CU3" s="1751"/>
      <c r="CV3" s="1751"/>
      <c r="CW3" s="1751"/>
      <c r="CX3" s="1751"/>
      <c r="CY3" s="1751"/>
      <c r="CZ3" s="1751"/>
      <c r="DA3" s="1752"/>
      <c r="DB3" s="1747" t="s">
        <v>155</v>
      </c>
      <c r="DC3" s="86" t="s">
        <v>274</v>
      </c>
      <c r="DD3" s="86" t="s">
        <v>275</v>
      </c>
      <c r="DE3" s="86" t="s">
        <v>276</v>
      </c>
      <c r="DF3" s="86" t="s">
        <v>277</v>
      </c>
      <c r="DG3" s="114" t="s">
        <v>278</v>
      </c>
      <c r="DH3" s="86" t="s">
        <v>279</v>
      </c>
    </row>
    <row r="4" spans="1:113" s="86" customFormat="1" ht="12.75" customHeight="1" x14ac:dyDescent="0.2">
      <c r="A4" s="1748"/>
      <c r="B4" s="1748"/>
      <c r="C4" s="1750" t="s">
        <v>156</v>
      </c>
      <c r="D4" s="1751"/>
      <c r="E4" s="1751"/>
      <c r="F4" s="1752"/>
      <c r="G4" s="1750" t="s">
        <v>157</v>
      </c>
      <c r="H4" s="1751"/>
      <c r="I4" s="1752"/>
      <c r="J4" s="1747" t="s">
        <v>158</v>
      </c>
      <c r="K4" s="1750" t="s">
        <v>159</v>
      </c>
      <c r="L4" s="1751"/>
      <c r="M4" s="1751"/>
      <c r="N4" s="1752"/>
      <c r="O4" s="1748"/>
      <c r="P4" s="1750" t="s">
        <v>156</v>
      </c>
      <c r="Q4" s="1751"/>
      <c r="R4" s="1751"/>
      <c r="S4" s="1752"/>
      <c r="T4" s="1750" t="s">
        <v>157</v>
      </c>
      <c r="U4" s="1751"/>
      <c r="V4" s="1752"/>
      <c r="W4" s="1747" t="s">
        <v>160</v>
      </c>
      <c r="X4" s="1753" t="s">
        <v>161</v>
      </c>
      <c r="Y4" s="1754"/>
      <c r="Z4" s="1754"/>
      <c r="AA4" s="1755"/>
      <c r="AB4" s="1748"/>
      <c r="AC4" s="1750" t="s">
        <v>156</v>
      </c>
      <c r="AD4" s="1751"/>
      <c r="AE4" s="1751"/>
      <c r="AF4" s="1752"/>
      <c r="AG4" s="1750" t="s">
        <v>157</v>
      </c>
      <c r="AH4" s="1751"/>
      <c r="AI4" s="1752"/>
      <c r="AJ4" s="1747" t="s">
        <v>162</v>
      </c>
      <c r="AK4" s="1750" t="s">
        <v>161</v>
      </c>
      <c r="AL4" s="1751"/>
      <c r="AM4" s="1751"/>
      <c r="AN4" s="1752"/>
      <c r="AO4" s="1748"/>
      <c r="AP4" s="1750" t="s">
        <v>156</v>
      </c>
      <c r="AQ4" s="1751"/>
      <c r="AR4" s="1751"/>
      <c r="AS4" s="1752"/>
      <c r="AT4" s="1750" t="s">
        <v>157</v>
      </c>
      <c r="AU4" s="1751"/>
      <c r="AV4" s="1752"/>
      <c r="AW4" s="1747" t="s">
        <v>163</v>
      </c>
      <c r="AX4" s="1750" t="s">
        <v>161</v>
      </c>
      <c r="AY4" s="1751"/>
      <c r="AZ4" s="1751"/>
      <c r="BA4" s="1752"/>
      <c r="BB4" s="1748"/>
      <c r="BC4" s="1750" t="s">
        <v>156</v>
      </c>
      <c r="BD4" s="1751"/>
      <c r="BE4" s="1751"/>
      <c r="BF4" s="1752"/>
      <c r="BG4" s="1750" t="s">
        <v>157</v>
      </c>
      <c r="BH4" s="1751"/>
      <c r="BI4" s="1752"/>
      <c r="BJ4" s="1747" t="s">
        <v>164</v>
      </c>
      <c r="BK4" s="1750" t="s">
        <v>161</v>
      </c>
      <c r="BL4" s="1751"/>
      <c r="BM4" s="1751"/>
      <c r="BN4" s="1752"/>
      <c r="BO4" s="1748"/>
      <c r="BP4" s="1750" t="s">
        <v>156</v>
      </c>
      <c r="BQ4" s="1751"/>
      <c r="BR4" s="1751"/>
      <c r="BS4" s="1752"/>
      <c r="BT4" s="1750" t="s">
        <v>157</v>
      </c>
      <c r="BU4" s="1751"/>
      <c r="BV4" s="1752"/>
      <c r="BW4" s="1747" t="s">
        <v>165</v>
      </c>
      <c r="BX4" s="1750" t="s">
        <v>161</v>
      </c>
      <c r="BY4" s="1751"/>
      <c r="BZ4" s="1751"/>
      <c r="CA4" s="1752"/>
      <c r="CB4" s="1748"/>
      <c r="CC4" s="1750" t="s">
        <v>156</v>
      </c>
      <c r="CD4" s="1751"/>
      <c r="CE4" s="1751"/>
      <c r="CF4" s="1752"/>
      <c r="CG4" s="1750" t="s">
        <v>157</v>
      </c>
      <c r="CH4" s="1751"/>
      <c r="CI4" s="1752"/>
      <c r="CJ4" s="1747" t="s">
        <v>166</v>
      </c>
      <c r="CK4" s="1750" t="s">
        <v>161</v>
      </c>
      <c r="CL4" s="1751"/>
      <c r="CM4" s="1751"/>
      <c r="CN4" s="1752"/>
      <c r="CO4" s="1748"/>
      <c r="CP4" s="1750" t="s">
        <v>156</v>
      </c>
      <c r="CQ4" s="1751"/>
      <c r="CR4" s="1751"/>
      <c r="CS4" s="1752"/>
      <c r="CT4" s="1750" t="s">
        <v>157</v>
      </c>
      <c r="CU4" s="1751"/>
      <c r="CV4" s="1752"/>
      <c r="CW4" s="1747" t="s">
        <v>167</v>
      </c>
      <c r="CX4" s="1750" t="s">
        <v>161</v>
      </c>
      <c r="CY4" s="1751"/>
      <c r="CZ4" s="1751"/>
      <c r="DA4" s="1752"/>
      <c r="DB4" s="1748"/>
      <c r="DG4" s="114"/>
    </row>
    <row r="5" spans="1:113" s="86" customFormat="1" ht="63.75" x14ac:dyDescent="0.2">
      <c r="A5" s="1749"/>
      <c r="B5" s="1749"/>
      <c r="C5" s="88" t="s">
        <v>168</v>
      </c>
      <c r="D5" s="88" t="s">
        <v>169</v>
      </c>
      <c r="E5" s="88" t="s">
        <v>170</v>
      </c>
      <c r="F5" s="88" t="s">
        <v>171</v>
      </c>
      <c r="G5" s="88" t="s">
        <v>172</v>
      </c>
      <c r="H5" s="88" t="s">
        <v>173</v>
      </c>
      <c r="I5" s="88" t="s">
        <v>174</v>
      </c>
      <c r="J5" s="1749"/>
      <c r="K5" s="88" t="s">
        <v>175</v>
      </c>
      <c r="L5" s="88" t="s">
        <v>176</v>
      </c>
      <c r="M5" s="88" t="s">
        <v>177</v>
      </c>
      <c r="N5" s="89" t="s">
        <v>178</v>
      </c>
      <c r="O5" s="1749"/>
      <c r="P5" s="90" t="s">
        <v>168</v>
      </c>
      <c r="Q5" s="90" t="s">
        <v>169</v>
      </c>
      <c r="R5" s="90" t="s">
        <v>170</v>
      </c>
      <c r="S5" s="90" t="s">
        <v>179</v>
      </c>
      <c r="T5" s="90" t="s">
        <v>172</v>
      </c>
      <c r="U5" s="90" t="s">
        <v>180</v>
      </c>
      <c r="V5" s="90" t="s">
        <v>181</v>
      </c>
      <c r="W5" s="1749"/>
      <c r="X5" s="90" t="s">
        <v>175</v>
      </c>
      <c r="Y5" s="90" t="s">
        <v>182</v>
      </c>
      <c r="Z5" s="90" t="s">
        <v>177</v>
      </c>
      <c r="AA5" s="89" t="s">
        <v>183</v>
      </c>
      <c r="AB5" s="1749"/>
      <c r="AC5" s="90" t="s">
        <v>168</v>
      </c>
      <c r="AD5" s="90" t="s">
        <v>169</v>
      </c>
      <c r="AE5" s="90" t="s">
        <v>170</v>
      </c>
      <c r="AF5" s="90" t="s">
        <v>184</v>
      </c>
      <c r="AG5" s="90" t="s">
        <v>172</v>
      </c>
      <c r="AH5" s="90" t="s">
        <v>180</v>
      </c>
      <c r="AI5" s="90" t="s">
        <v>185</v>
      </c>
      <c r="AJ5" s="1749"/>
      <c r="AK5" s="90" t="s">
        <v>175</v>
      </c>
      <c r="AL5" s="90" t="s">
        <v>176</v>
      </c>
      <c r="AM5" s="90" t="s">
        <v>177</v>
      </c>
      <c r="AN5" s="89" t="s">
        <v>186</v>
      </c>
      <c r="AO5" s="1749"/>
      <c r="AP5" s="90" t="s">
        <v>168</v>
      </c>
      <c r="AQ5" s="90" t="s">
        <v>169</v>
      </c>
      <c r="AR5" s="90" t="s">
        <v>170</v>
      </c>
      <c r="AS5" s="90" t="s">
        <v>187</v>
      </c>
      <c r="AT5" s="90" t="s">
        <v>172</v>
      </c>
      <c r="AU5" s="90" t="s">
        <v>180</v>
      </c>
      <c r="AV5" s="90" t="s">
        <v>188</v>
      </c>
      <c r="AW5" s="1749"/>
      <c r="AX5" s="90" t="s">
        <v>175</v>
      </c>
      <c r="AY5" s="90" t="s">
        <v>176</v>
      </c>
      <c r="AZ5" s="90" t="s">
        <v>177</v>
      </c>
      <c r="BA5" s="89" t="s">
        <v>189</v>
      </c>
      <c r="BB5" s="1749"/>
      <c r="BC5" s="90" t="s">
        <v>168</v>
      </c>
      <c r="BD5" s="90" t="s">
        <v>169</v>
      </c>
      <c r="BE5" s="90" t="s">
        <v>170</v>
      </c>
      <c r="BF5" s="90" t="s">
        <v>190</v>
      </c>
      <c r="BG5" s="90" t="s">
        <v>172</v>
      </c>
      <c r="BH5" s="90" t="s">
        <v>180</v>
      </c>
      <c r="BI5" s="90" t="s">
        <v>191</v>
      </c>
      <c r="BJ5" s="1749"/>
      <c r="BK5" s="90" t="s">
        <v>175</v>
      </c>
      <c r="BL5" s="90" t="s">
        <v>176</v>
      </c>
      <c r="BM5" s="90" t="s">
        <v>177</v>
      </c>
      <c r="BN5" s="89" t="s">
        <v>192</v>
      </c>
      <c r="BO5" s="1749"/>
      <c r="BP5" s="90" t="s">
        <v>168</v>
      </c>
      <c r="BQ5" s="90" t="s">
        <v>169</v>
      </c>
      <c r="BR5" s="90" t="s">
        <v>170</v>
      </c>
      <c r="BS5" s="90" t="s">
        <v>193</v>
      </c>
      <c r="BT5" s="90" t="s">
        <v>172</v>
      </c>
      <c r="BU5" s="90" t="s">
        <v>180</v>
      </c>
      <c r="BV5" s="90" t="s">
        <v>194</v>
      </c>
      <c r="BW5" s="1749"/>
      <c r="BX5" s="91" t="s">
        <v>175</v>
      </c>
      <c r="BY5" s="90" t="s">
        <v>176</v>
      </c>
      <c r="BZ5" s="90" t="s">
        <v>177</v>
      </c>
      <c r="CA5" s="89" t="s">
        <v>195</v>
      </c>
      <c r="CB5" s="1749"/>
      <c r="CC5" s="90" t="s">
        <v>168</v>
      </c>
      <c r="CD5" s="90" t="s">
        <v>169</v>
      </c>
      <c r="CE5" s="90" t="s">
        <v>170</v>
      </c>
      <c r="CF5" s="90" t="s">
        <v>196</v>
      </c>
      <c r="CG5" s="90" t="s">
        <v>172</v>
      </c>
      <c r="CH5" s="90" t="s">
        <v>180</v>
      </c>
      <c r="CI5" s="90" t="s">
        <v>197</v>
      </c>
      <c r="CJ5" s="1749"/>
      <c r="CK5" s="91" t="s">
        <v>175</v>
      </c>
      <c r="CL5" s="90" t="s">
        <v>176</v>
      </c>
      <c r="CM5" s="90" t="s">
        <v>177</v>
      </c>
      <c r="CN5" s="89" t="s">
        <v>198</v>
      </c>
      <c r="CO5" s="1749"/>
      <c r="CP5" s="90" t="s">
        <v>168</v>
      </c>
      <c r="CQ5" s="90" t="s">
        <v>199</v>
      </c>
      <c r="CR5" s="90" t="s">
        <v>170</v>
      </c>
      <c r="CS5" s="90" t="s">
        <v>200</v>
      </c>
      <c r="CT5" s="90" t="s">
        <v>172</v>
      </c>
      <c r="CU5" s="90" t="s">
        <v>180</v>
      </c>
      <c r="CV5" s="90" t="s">
        <v>201</v>
      </c>
      <c r="CW5" s="1749"/>
      <c r="CX5" s="91" t="s">
        <v>175</v>
      </c>
      <c r="CY5" s="90" t="s">
        <v>176</v>
      </c>
      <c r="CZ5" s="90" t="s">
        <v>177</v>
      </c>
      <c r="DA5" s="89" t="s">
        <v>202</v>
      </c>
      <c r="DB5" s="1749"/>
      <c r="DG5" s="114"/>
    </row>
    <row r="6" spans="1:113" s="86" customFormat="1" x14ac:dyDescent="0.2">
      <c r="A6" s="92">
        <v>1</v>
      </c>
      <c r="B6" s="93">
        <v>2</v>
      </c>
      <c r="C6" s="87">
        <v>3</v>
      </c>
      <c r="D6" s="87">
        <v>4</v>
      </c>
      <c r="E6" s="87">
        <v>5</v>
      </c>
      <c r="F6" s="87">
        <v>6</v>
      </c>
      <c r="G6" s="87">
        <v>7</v>
      </c>
      <c r="H6" s="87">
        <v>8</v>
      </c>
      <c r="I6" s="87">
        <v>9</v>
      </c>
      <c r="J6" s="93">
        <v>10</v>
      </c>
      <c r="K6" s="87">
        <v>11</v>
      </c>
      <c r="L6" s="87">
        <v>12</v>
      </c>
      <c r="M6" s="87">
        <v>13</v>
      </c>
      <c r="N6" s="93">
        <v>14</v>
      </c>
      <c r="O6" s="93">
        <v>15</v>
      </c>
      <c r="P6" s="94">
        <v>16</v>
      </c>
      <c r="Q6" s="92">
        <v>17</v>
      </c>
      <c r="R6" s="93">
        <v>18</v>
      </c>
      <c r="S6" s="93">
        <v>19</v>
      </c>
      <c r="T6" s="93">
        <v>20</v>
      </c>
      <c r="U6" s="93">
        <v>21</v>
      </c>
      <c r="V6" s="93">
        <v>22</v>
      </c>
      <c r="W6" s="93">
        <v>23</v>
      </c>
      <c r="X6" s="93">
        <v>24</v>
      </c>
      <c r="Y6" s="93">
        <v>25</v>
      </c>
      <c r="Z6" s="93">
        <v>26</v>
      </c>
      <c r="AA6" s="93">
        <v>27</v>
      </c>
      <c r="AB6" s="93">
        <v>28</v>
      </c>
      <c r="AC6" s="94">
        <v>29</v>
      </c>
      <c r="AD6" s="92">
        <v>30</v>
      </c>
      <c r="AE6" s="93">
        <v>31</v>
      </c>
      <c r="AF6" s="93">
        <v>32</v>
      </c>
      <c r="AG6" s="93">
        <v>33</v>
      </c>
      <c r="AH6" s="93">
        <v>34</v>
      </c>
      <c r="AI6" s="93">
        <v>35</v>
      </c>
      <c r="AJ6" s="93">
        <v>36</v>
      </c>
      <c r="AK6" s="93">
        <v>37</v>
      </c>
      <c r="AL6" s="93">
        <v>38</v>
      </c>
      <c r="AM6" s="93">
        <v>39</v>
      </c>
      <c r="AN6" s="93">
        <v>40</v>
      </c>
      <c r="AO6" s="93">
        <v>41</v>
      </c>
      <c r="AP6" s="93">
        <v>42</v>
      </c>
      <c r="AQ6" s="94">
        <v>43</v>
      </c>
      <c r="AR6" s="92">
        <v>44</v>
      </c>
      <c r="AS6" s="93">
        <v>45</v>
      </c>
      <c r="AT6" s="93">
        <v>46</v>
      </c>
      <c r="AU6" s="93">
        <v>47</v>
      </c>
      <c r="AV6" s="93">
        <v>48</v>
      </c>
      <c r="AW6" s="93">
        <v>49</v>
      </c>
      <c r="AX6" s="93">
        <v>50</v>
      </c>
      <c r="AY6" s="93">
        <v>51</v>
      </c>
      <c r="AZ6" s="93">
        <v>52</v>
      </c>
      <c r="BA6" s="93">
        <v>53</v>
      </c>
      <c r="BB6" s="93">
        <v>54</v>
      </c>
      <c r="BC6" s="93">
        <v>55</v>
      </c>
      <c r="BD6" s="93">
        <v>56</v>
      </c>
      <c r="BE6" s="94">
        <v>57</v>
      </c>
      <c r="BF6" s="92">
        <v>58</v>
      </c>
      <c r="BG6" s="93">
        <v>59</v>
      </c>
      <c r="BH6" s="93">
        <v>60</v>
      </c>
      <c r="BI6" s="93">
        <v>61</v>
      </c>
      <c r="BJ6" s="93">
        <v>62</v>
      </c>
      <c r="BK6" s="93">
        <v>63</v>
      </c>
      <c r="BL6" s="93">
        <v>64</v>
      </c>
      <c r="BM6" s="93">
        <v>65</v>
      </c>
      <c r="BN6" s="93">
        <v>66</v>
      </c>
      <c r="BO6" s="93">
        <v>67</v>
      </c>
      <c r="BP6" s="93">
        <v>68</v>
      </c>
      <c r="BQ6" s="93">
        <v>69</v>
      </c>
      <c r="BR6" s="93">
        <v>70</v>
      </c>
      <c r="BS6" s="93">
        <v>71</v>
      </c>
      <c r="BT6" s="93">
        <v>72</v>
      </c>
      <c r="BU6" s="93">
        <v>73</v>
      </c>
      <c r="BV6" s="93">
        <v>74</v>
      </c>
      <c r="BW6" s="93">
        <v>75</v>
      </c>
      <c r="BX6" s="93">
        <v>76</v>
      </c>
      <c r="BY6" s="93">
        <v>77</v>
      </c>
      <c r="BZ6" s="93">
        <v>78</v>
      </c>
      <c r="CA6" s="93">
        <v>79</v>
      </c>
      <c r="CB6" s="93">
        <v>80</v>
      </c>
      <c r="CC6" s="93">
        <v>81</v>
      </c>
      <c r="CD6" s="93">
        <v>82</v>
      </c>
      <c r="CE6" s="93">
        <v>83</v>
      </c>
      <c r="CF6" s="93">
        <v>84</v>
      </c>
      <c r="CG6" s="93">
        <v>85</v>
      </c>
      <c r="CH6" s="93">
        <v>86</v>
      </c>
      <c r="CI6" s="93">
        <v>87</v>
      </c>
      <c r="CJ6" s="93">
        <v>88</v>
      </c>
      <c r="CK6" s="93">
        <v>89</v>
      </c>
      <c r="CL6" s="93">
        <v>90</v>
      </c>
      <c r="CM6" s="93">
        <v>91</v>
      </c>
      <c r="CN6" s="93">
        <v>92</v>
      </c>
      <c r="CO6" s="93">
        <v>93</v>
      </c>
      <c r="CP6" s="93">
        <v>94</v>
      </c>
      <c r="CQ6" s="93">
        <v>95</v>
      </c>
      <c r="CR6" s="93">
        <v>96</v>
      </c>
      <c r="CS6" s="93">
        <v>97</v>
      </c>
      <c r="CT6" s="93">
        <v>98</v>
      </c>
      <c r="CU6" s="93">
        <v>99</v>
      </c>
      <c r="CV6" s="93">
        <v>100</v>
      </c>
      <c r="CW6" s="93">
        <v>101</v>
      </c>
      <c r="CX6" s="93">
        <v>102</v>
      </c>
      <c r="CY6" s="93">
        <v>103</v>
      </c>
      <c r="CZ6" s="93">
        <v>104</v>
      </c>
      <c r="DA6" s="93">
        <v>105</v>
      </c>
      <c r="DB6" s="93">
        <v>106</v>
      </c>
      <c r="DC6" s="86">
        <v>1</v>
      </c>
      <c r="DD6" s="86">
        <v>1</v>
      </c>
      <c r="DE6" s="86">
        <v>1</v>
      </c>
      <c r="DF6" s="86">
        <v>1</v>
      </c>
      <c r="DG6" s="86">
        <v>1</v>
      </c>
      <c r="DH6" s="86">
        <v>1</v>
      </c>
    </row>
    <row r="7" spans="1:113" s="116" customFormat="1" ht="25.5" x14ac:dyDescent="0.2">
      <c r="A7" s="95" t="s">
        <v>203</v>
      </c>
      <c r="B7" s="96" t="s">
        <v>204</v>
      </c>
      <c r="C7" s="97">
        <v>0</v>
      </c>
      <c r="D7" s="97">
        <v>0</v>
      </c>
      <c r="E7" s="97">
        <v>0</v>
      </c>
      <c r="F7" s="97">
        <v>0</v>
      </c>
      <c r="G7" s="97">
        <v>2758483050322</v>
      </c>
      <c r="H7" s="97">
        <v>0</v>
      </c>
      <c r="I7" s="97">
        <v>2758483050322</v>
      </c>
      <c r="J7" s="97">
        <v>2758483050322</v>
      </c>
      <c r="K7" s="97">
        <v>0</v>
      </c>
      <c r="L7" s="97">
        <v>0</v>
      </c>
      <c r="M7" s="97">
        <v>0</v>
      </c>
      <c r="N7" s="97">
        <v>0</v>
      </c>
      <c r="O7" s="97">
        <v>2758483050322</v>
      </c>
      <c r="P7" s="97">
        <v>0</v>
      </c>
      <c r="Q7" s="97">
        <v>0</v>
      </c>
      <c r="R7" s="97">
        <v>0</v>
      </c>
      <c r="S7" s="97">
        <v>0</v>
      </c>
      <c r="T7" s="97">
        <v>166531568419</v>
      </c>
      <c r="U7" s="97">
        <v>0</v>
      </c>
      <c r="V7" s="97">
        <v>166531568419</v>
      </c>
      <c r="W7" s="97">
        <v>166531568419</v>
      </c>
      <c r="X7" s="97"/>
      <c r="Y7" s="97">
        <v>0</v>
      </c>
      <c r="Z7" s="97">
        <v>0</v>
      </c>
      <c r="AA7" s="97">
        <v>0</v>
      </c>
      <c r="AB7" s="97">
        <v>166531568419</v>
      </c>
      <c r="AC7" s="97">
        <v>0</v>
      </c>
      <c r="AD7" s="97">
        <v>0</v>
      </c>
      <c r="AE7" s="97">
        <v>0</v>
      </c>
      <c r="AF7" s="97">
        <v>0</v>
      </c>
      <c r="AG7" s="97">
        <v>1024952704649</v>
      </c>
      <c r="AH7" s="97">
        <v>0</v>
      </c>
      <c r="AI7" s="97">
        <v>1024952704649</v>
      </c>
      <c r="AJ7" s="97">
        <v>1024952704649</v>
      </c>
      <c r="AK7" s="97">
        <v>0</v>
      </c>
      <c r="AL7" s="97">
        <v>0</v>
      </c>
      <c r="AM7" s="97">
        <v>0</v>
      </c>
      <c r="AN7" s="97">
        <v>0</v>
      </c>
      <c r="AO7" s="97">
        <v>1024952704649</v>
      </c>
      <c r="AP7" s="97">
        <v>0</v>
      </c>
      <c r="AQ7" s="97">
        <v>0</v>
      </c>
      <c r="AR7" s="97">
        <v>0</v>
      </c>
      <c r="AS7" s="97">
        <v>0</v>
      </c>
      <c r="AT7" s="97">
        <v>1273016453914</v>
      </c>
      <c r="AU7" s="97">
        <v>0</v>
      </c>
      <c r="AV7" s="97">
        <v>1273016453914</v>
      </c>
      <c r="AW7" s="97">
        <v>1273016453914</v>
      </c>
      <c r="AX7" s="97">
        <v>0</v>
      </c>
      <c r="AY7" s="97">
        <v>0</v>
      </c>
      <c r="AZ7" s="97">
        <v>0</v>
      </c>
      <c r="BA7" s="97">
        <v>0</v>
      </c>
      <c r="BB7" s="97">
        <v>1273016453914</v>
      </c>
      <c r="BC7" s="97">
        <v>0</v>
      </c>
      <c r="BD7" s="97">
        <v>0</v>
      </c>
      <c r="BE7" s="97">
        <v>0</v>
      </c>
      <c r="BF7" s="97">
        <v>0</v>
      </c>
      <c r="BG7" s="97">
        <v>35668207998</v>
      </c>
      <c r="BH7" s="97">
        <v>0</v>
      </c>
      <c r="BI7" s="97">
        <v>35668207998</v>
      </c>
      <c r="BJ7" s="97">
        <v>35668207998</v>
      </c>
      <c r="BK7" s="97">
        <v>0</v>
      </c>
      <c r="BL7" s="97">
        <v>0</v>
      </c>
      <c r="BM7" s="97">
        <v>0</v>
      </c>
      <c r="BN7" s="97">
        <v>0</v>
      </c>
      <c r="BO7" s="97">
        <v>35668207998</v>
      </c>
      <c r="BP7" s="97">
        <v>0</v>
      </c>
      <c r="BQ7" s="97">
        <v>0</v>
      </c>
      <c r="BR7" s="97">
        <v>0</v>
      </c>
      <c r="BS7" s="97">
        <v>0</v>
      </c>
      <c r="BT7" s="97">
        <v>291570976404</v>
      </c>
      <c r="BU7" s="97">
        <v>0</v>
      </c>
      <c r="BV7" s="97">
        <v>291570976404</v>
      </c>
      <c r="BW7" s="97">
        <v>291570976404</v>
      </c>
      <c r="BX7" s="97">
        <v>0</v>
      </c>
      <c r="BY7" s="97">
        <v>0</v>
      </c>
      <c r="BZ7" s="97">
        <v>0</v>
      </c>
      <c r="CA7" s="97">
        <v>0</v>
      </c>
      <c r="CB7" s="97">
        <v>291570976404</v>
      </c>
      <c r="CC7" s="97">
        <v>0</v>
      </c>
      <c r="CD7" s="97">
        <v>0</v>
      </c>
      <c r="CE7" s="97">
        <v>0</v>
      </c>
      <c r="CF7" s="97">
        <v>0</v>
      </c>
      <c r="CG7" s="97">
        <v>2127508660</v>
      </c>
      <c r="CH7" s="97">
        <v>0</v>
      </c>
      <c r="CI7" s="97">
        <v>2127508660</v>
      </c>
      <c r="CJ7" s="97">
        <v>2127508660</v>
      </c>
      <c r="CK7" s="97">
        <v>0</v>
      </c>
      <c r="CL7" s="97">
        <v>0</v>
      </c>
      <c r="CM7" s="97">
        <v>0</v>
      </c>
      <c r="CN7" s="97">
        <v>0</v>
      </c>
      <c r="CO7" s="97">
        <v>2127508660</v>
      </c>
      <c r="CP7" s="97">
        <v>0</v>
      </c>
      <c r="CQ7" s="97">
        <v>0</v>
      </c>
      <c r="CR7" s="97">
        <v>0</v>
      </c>
      <c r="CS7" s="97">
        <v>0</v>
      </c>
      <c r="CT7" s="97">
        <v>283838276</v>
      </c>
      <c r="CU7" s="97">
        <v>0</v>
      </c>
      <c r="CV7" s="97">
        <v>283838276</v>
      </c>
      <c r="CW7" s="97">
        <v>283838276</v>
      </c>
      <c r="CX7" s="97">
        <v>0</v>
      </c>
      <c r="CY7" s="97">
        <v>0</v>
      </c>
      <c r="CZ7" s="97">
        <v>0</v>
      </c>
      <c r="DA7" s="97">
        <v>0</v>
      </c>
      <c r="DB7" s="97">
        <v>283838276</v>
      </c>
      <c r="DG7" s="117"/>
    </row>
    <row r="8" spans="1:113" s="116" customFormat="1" ht="38.25" x14ac:dyDescent="0.2">
      <c r="A8" s="95" t="s">
        <v>205</v>
      </c>
      <c r="B8" s="96" t="s">
        <v>206</v>
      </c>
      <c r="C8" s="97">
        <v>0</v>
      </c>
      <c r="D8" s="97">
        <v>0</v>
      </c>
      <c r="E8" s="97">
        <v>0</v>
      </c>
      <c r="F8" s="97">
        <v>0</v>
      </c>
      <c r="G8" s="97">
        <v>1839560451811</v>
      </c>
      <c r="H8" s="97">
        <v>0</v>
      </c>
      <c r="I8" s="97">
        <v>1839560451811</v>
      </c>
      <c r="J8" s="97">
        <v>1839560451811</v>
      </c>
      <c r="K8" s="97">
        <v>0</v>
      </c>
      <c r="L8" s="97">
        <v>0</v>
      </c>
      <c r="M8" s="97">
        <v>0</v>
      </c>
      <c r="N8" s="97">
        <v>0</v>
      </c>
      <c r="O8" s="97">
        <v>1839560451811</v>
      </c>
      <c r="P8" s="97">
        <v>0</v>
      </c>
      <c r="Q8" s="97">
        <v>0</v>
      </c>
      <c r="R8" s="97">
        <v>0</v>
      </c>
      <c r="S8" s="97">
        <v>0</v>
      </c>
      <c r="T8" s="97">
        <v>134473775121</v>
      </c>
      <c r="U8" s="97">
        <v>0</v>
      </c>
      <c r="V8" s="97">
        <v>134473775121</v>
      </c>
      <c r="W8" s="97">
        <v>134473775121</v>
      </c>
      <c r="X8" s="97"/>
      <c r="Y8" s="97">
        <v>0</v>
      </c>
      <c r="Z8" s="97">
        <v>0</v>
      </c>
      <c r="AA8" s="97">
        <v>0</v>
      </c>
      <c r="AB8" s="97">
        <v>134473775121</v>
      </c>
      <c r="AC8" s="97">
        <v>0</v>
      </c>
      <c r="AD8" s="97">
        <v>0</v>
      </c>
      <c r="AE8" s="97">
        <v>0</v>
      </c>
      <c r="AF8" s="97">
        <v>0</v>
      </c>
      <c r="AG8" s="97">
        <v>802306257217</v>
      </c>
      <c r="AH8" s="97">
        <v>0</v>
      </c>
      <c r="AI8" s="97">
        <v>802306257217</v>
      </c>
      <c r="AJ8" s="97">
        <v>802306257217</v>
      </c>
      <c r="AK8" s="97">
        <v>0</v>
      </c>
      <c r="AL8" s="97">
        <v>0</v>
      </c>
      <c r="AM8" s="97">
        <v>0</v>
      </c>
      <c r="AN8" s="97">
        <v>0</v>
      </c>
      <c r="AO8" s="97">
        <v>802306257217</v>
      </c>
      <c r="AP8" s="97">
        <v>0</v>
      </c>
      <c r="AQ8" s="97">
        <v>0</v>
      </c>
      <c r="AR8" s="97">
        <v>0</v>
      </c>
      <c r="AS8" s="97">
        <v>0</v>
      </c>
      <c r="AT8" s="97">
        <v>800117002773</v>
      </c>
      <c r="AU8" s="97">
        <v>0</v>
      </c>
      <c r="AV8" s="97">
        <v>800117002773</v>
      </c>
      <c r="AW8" s="97">
        <v>800117002773</v>
      </c>
      <c r="AX8" s="97">
        <v>0</v>
      </c>
      <c r="AY8" s="97">
        <v>0</v>
      </c>
      <c r="AZ8" s="97">
        <v>0</v>
      </c>
      <c r="BA8" s="97">
        <v>0</v>
      </c>
      <c r="BB8" s="97">
        <v>800117002773</v>
      </c>
      <c r="BC8" s="97">
        <v>0</v>
      </c>
      <c r="BD8" s="97">
        <v>0</v>
      </c>
      <c r="BE8" s="97">
        <v>0</v>
      </c>
      <c r="BF8" s="97">
        <v>0</v>
      </c>
      <c r="BG8" s="97">
        <v>23580065744</v>
      </c>
      <c r="BH8" s="97">
        <v>0</v>
      </c>
      <c r="BI8" s="97">
        <v>23580065744</v>
      </c>
      <c r="BJ8" s="97">
        <v>23580065744</v>
      </c>
      <c r="BK8" s="97">
        <v>0</v>
      </c>
      <c r="BL8" s="97">
        <v>0</v>
      </c>
      <c r="BM8" s="97">
        <v>0</v>
      </c>
      <c r="BN8" s="97">
        <v>0</v>
      </c>
      <c r="BO8" s="97">
        <v>23580065744</v>
      </c>
      <c r="BP8" s="97">
        <v>0</v>
      </c>
      <c r="BQ8" s="97">
        <v>0</v>
      </c>
      <c r="BR8" s="97">
        <v>0</v>
      </c>
      <c r="BS8" s="97">
        <v>0</v>
      </c>
      <c r="BT8" s="97">
        <v>101285143091</v>
      </c>
      <c r="BU8" s="97">
        <v>0</v>
      </c>
      <c r="BV8" s="97">
        <v>101285143091</v>
      </c>
      <c r="BW8" s="97">
        <v>101285143091</v>
      </c>
      <c r="BX8" s="97">
        <v>0</v>
      </c>
      <c r="BY8" s="97">
        <v>0</v>
      </c>
      <c r="BZ8" s="97">
        <v>0</v>
      </c>
      <c r="CA8" s="97">
        <v>0</v>
      </c>
      <c r="CB8" s="97">
        <v>101285143091</v>
      </c>
      <c r="CC8" s="97">
        <v>0</v>
      </c>
      <c r="CD8" s="97">
        <v>0</v>
      </c>
      <c r="CE8" s="97">
        <v>0</v>
      </c>
      <c r="CF8" s="97">
        <v>0</v>
      </c>
      <c r="CG8" s="97">
        <v>1358040792</v>
      </c>
      <c r="CH8" s="97">
        <v>0</v>
      </c>
      <c r="CI8" s="97">
        <v>1358040792</v>
      </c>
      <c r="CJ8" s="97">
        <v>1358040792</v>
      </c>
      <c r="CK8" s="97">
        <v>0</v>
      </c>
      <c r="CL8" s="97">
        <v>0</v>
      </c>
      <c r="CM8" s="97">
        <v>0</v>
      </c>
      <c r="CN8" s="97">
        <v>0</v>
      </c>
      <c r="CO8" s="97">
        <v>1358040792</v>
      </c>
      <c r="CP8" s="97">
        <v>0</v>
      </c>
      <c r="CQ8" s="97">
        <v>0</v>
      </c>
      <c r="CR8" s="97">
        <v>0</v>
      </c>
      <c r="CS8" s="97">
        <v>0</v>
      </c>
      <c r="CT8" s="97">
        <v>20232817</v>
      </c>
      <c r="CU8" s="97">
        <v>0</v>
      </c>
      <c r="CV8" s="97">
        <v>20232817</v>
      </c>
      <c r="CW8" s="97">
        <v>20232817</v>
      </c>
      <c r="CX8" s="97">
        <v>0</v>
      </c>
      <c r="CY8" s="97">
        <v>0</v>
      </c>
      <c r="CZ8" s="97">
        <v>0</v>
      </c>
      <c r="DA8" s="97">
        <v>0</v>
      </c>
      <c r="DB8" s="97">
        <v>20232817</v>
      </c>
      <c r="DC8" s="118">
        <f>+G8/G7</f>
        <v>0.6668739369619352</v>
      </c>
      <c r="DD8" s="118">
        <f>+T8/T7</f>
        <v>0.80749719946586151</v>
      </c>
      <c r="DE8" s="118">
        <f>+AG8/AG7</f>
        <v>0.78277393052175381</v>
      </c>
      <c r="DF8" s="118">
        <f>+AT8/AT7</f>
        <v>0.62852055078547542</v>
      </c>
      <c r="DG8" s="118">
        <f>+BG8/BG7</f>
        <v>0.66109476947432266</v>
      </c>
      <c r="DH8" s="118">
        <f>+BT8/BT7</f>
        <v>0.34737731560311258</v>
      </c>
      <c r="DI8" s="116" t="s">
        <v>280</v>
      </c>
    </row>
    <row r="9" spans="1:113" x14ac:dyDescent="0.2">
      <c r="A9" s="95" t="s">
        <v>207</v>
      </c>
      <c r="B9" s="96" t="s">
        <v>208</v>
      </c>
      <c r="C9" s="97">
        <v>0</v>
      </c>
      <c r="D9" s="97">
        <v>0</v>
      </c>
      <c r="E9" s="97">
        <v>0</v>
      </c>
      <c r="F9" s="97">
        <v>0</v>
      </c>
      <c r="G9" s="97">
        <v>1418323355891</v>
      </c>
      <c r="H9" s="97">
        <v>0</v>
      </c>
      <c r="I9" s="97">
        <v>1418323355891</v>
      </c>
      <c r="J9" s="97">
        <v>1418323355891</v>
      </c>
      <c r="K9" s="97">
        <v>0</v>
      </c>
      <c r="L9" s="97">
        <v>0</v>
      </c>
      <c r="M9" s="97">
        <v>0</v>
      </c>
      <c r="N9" s="97">
        <v>0</v>
      </c>
      <c r="O9" s="97">
        <v>1418323355891</v>
      </c>
      <c r="P9" s="97">
        <v>0</v>
      </c>
      <c r="Q9" s="97">
        <v>0</v>
      </c>
      <c r="R9" s="97">
        <v>0</v>
      </c>
      <c r="S9" s="97">
        <v>0</v>
      </c>
      <c r="T9" s="97">
        <v>103461753778</v>
      </c>
      <c r="U9" s="97">
        <v>0</v>
      </c>
      <c r="V9" s="97">
        <v>103461753778</v>
      </c>
      <c r="W9" s="97">
        <v>103461753778</v>
      </c>
      <c r="X9" s="97"/>
      <c r="Y9" s="97">
        <v>0</v>
      </c>
      <c r="Z9" s="97">
        <v>0</v>
      </c>
      <c r="AA9" s="97">
        <v>0</v>
      </c>
      <c r="AB9" s="97">
        <v>103461753778</v>
      </c>
      <c r="AC9" s="97">
        <v>0</v>
      </c>
      <c r="AD9" s="97">
        <v>0</v>
      </c>
      <c r="AE9" s="97">
        <v>0</v>
      </c>
      <c r="AF9" s="97">
        <v>0</v>
      </c>
      <c r="AG9" s="97">
        <v>619130052425</v>
      </c>
      <c r="AH9" s="97">
        <v>0</v>
      </c>
      <c r="AI9" s="97">
        <v>619130052425</v>
      </c>
      <c r="AJ9" s="97">
        <v>619130052425</v>
      </c>
      <c r="AK9" s="97">
        <v>0</v>
      </c>
      <c r="AL9" s="97">
        <v>0</v>
      </c>
      <c r="AM9" s="97">
        <v>0</v>
      </c>
      <c r="AN9" s="97">
        <v>0</v>
      </c>
      <c r="AO9" s="97">
        <v>619130052425</v>
      </c>
      <c r="AP9" s="97">
        <v>0</v>
      </c>
      <c r="AQ9" s="97">
        <v>0</v>
      </c>
      <c r="AR9" s="97">
        <v>0</v>
      </c>
      <c r="AS9" s="97">
        <v>0</v>
      </c>
      <c r="AT9" s="97">
        <v>616296273197</v>
      </c>
      <c r="AU9" s="97">
        <v>0</v>
      </c>
      <c r="AV9" s="97">
        <v>616296273197</v>
      </c>
      <c r="AW9" s="97">
        <v>616296273197</v>
      </c>
      <c r="AX9" s="97">
        <v>0</v>
      </c>
      <c r="AY9" s="97">
        <v>0</v>
      </c>
      <c r="AZ9" s="97">
        <v>0</v>
      </c>
      <c r="BA9" s="97">
        <v>0</v>
      </c>
      <c r="BB9" s="97">
        <v>616296273197</v>
      </c>
      <c r="BC9" s="97">
        <v>0</v>
      </c>
      <c r="BD9" s="97">
        <v>0</v>
      </c>
      <c r="BE9" s="97">
        <v>0</v>
      </c>
      <c r="BF9" s="97">
        <v>0</v>
      </c>
      <c r="BG9" s="97">
        <v>18153689793</v>
      </c>
      <c r="BH9" s="97">
        <v>0</v>
      </c>
      <c r="BI9" s="97">
        <v>18153689793</v>
      </c>
      <c r="BJ9" s="97">
        <v>18153689793</v>
      </c>
      <c r="BK9" s="97">
        <v>0</v>
      </c>
      <c r="BL9" s="97">
        <v>0</v>
      </c>
      <c r="BM9" s="97">
        <v>0</v>
      </c>
      <c r="BN9" s="97">
        <v>0</v>
      </c>
      <c r="BO9" s="97">
        <v>18153689793</v>
      </c>
      <c r="BP9" s="97">
        <v>0</v>
      </c>
      <c r="BQ9" s="97">
        <v>0</v>
      </c>
      <c r="BR9" s="97">
        <v>0</v>
      </c>
      <c r="BS9" s="97">
        <v>0</v>
      </c>
      <c r="BT9" s="97">
        <v>78371045915</v>
      </c>
      <c r="BU9" s="97">
        <v>0</v>
      </c>
      <c r="BV9" s="97">
        <v>78371045915</v>
      </c>
      <c r="BW9" s="97">
        <v>78371045915</v>
      </c>
      <c r="BX9" s="97">
        <v>0</v>
      </c>
      <c r="BY9" s="97">
        <v>0</v>
      </c>
      <c r="BZ9" s="97">
        <v>0</v>
      </c>
      <c r="CA9" s="97">
        <v>0</v>
      </c>
      <c r="CB9" s="97">
        <v>78371045915</v>
      </c>
      <c r="CC9" s="97">
        <v>0</v>
      </c>
      <c r="CD9" s="97">
        <v>0</v>
      </c>
      <c r="CE9" s="97">
        <v>0</v>
      </c>
      <c r="CF9" s="97">
        <v>0</v>
      </c>
      <c r="CG9" s="97">
        <v>1048719987</v>
      </c>
      <c r="CH9" s="97">
        <v>0</v>
      </c>
      <c r="CI9" s="97">
        <v>1048719987</v>
      </c>
      <c r="CJ9" s="97">
        <v>1048719987</v>
      </c>
      <c r="CK9" s="97">
        <v>0</v>
      </c>
      <c r="CL9" s="97">
        <v>0</v>
      </c>
      <c r="CM9" s="97">
        <v>0</v>
      </c>
      <c r="CN9" s="97">
        <v>0</v>
      </c>
      <c r="CO9" s="97">
        <v>1048719987</v>
      </c>
      <c r="CP9" s="97">
        <v>0</v>
      </c>
      <c r="CQ9" s="97">
        <v>0</v>
      </c>
      <c r="CR9" s="97">
        <v>0</v>
      </c>
      <c r="CS9" s="97">
        <v>0</v>
      </c>
      <c r="CT9" s="97">
        <v>15510589</v>
      </c>
      <c r="CU9" s="97">
        <v>0</v>
      </c>
      <c r="CV9" s="97">
        <v>15510589</v>
      </c>
      <c r="CW9" s="97">
        <v>15510589</v>
      </c>
      <c r="CX9" s="97">
        <v>0</v>
      </c>
      <c r="CY9" s="97">
        <v>0</v>
      </c>
      <c r="CZ9" s="97">
        <v>0</v>
      </c>
      <c r="DA9" s="97">
        <v>0</v>
      </c>
      <c r="DB9" s="97">
        <v>15510589</v>
      </c>
      <c r="DC9" s="118">
        <f t="shared" ref="DC9:DH9" si="0">+DC6-DC8</f>
        <v>0.3331260630380648</v>
      </c>
      <c r="DD9" s="118">
        <f t="shared" si="0"/>
        <v>0.19250280053413849</v>
      </c>
      <c r="DE9" s="118">
        <f t="shared" si="0"/>
        <v>0.21722606947824619</v>
      </c>
      <c r="DF9" s="118">
        <f t="shared" si="0"/>
        <v>0.37147944921452458</v>
      </c>
      <c r="DG9" s="118">
        <f t="shared" si="0"/>
        <v>0.33890523052567734</v>
      </c>
      <c r="DH9" s="118">
        <f t="shared" si="0"/>
        <v>0.65262268439688742</v>
      </c>
      <c r="DI9" s="83" t="s">
        <v>281</v>
      </c>
    </row>
    <row r="10" spans="1:113" ht="38.25" x14ac:dyDescent="0.2">
      <c r="A10" s="95" t="s">
        <v>209</v>
      </c>
      <c r="B10" s="96" t="s">
        <v>210</v>
      </c>
      <c r="C10" s="97">
        <v>0</v>
      </c>
      <c r="D10" s="97">
        <v>0</v>
      </c>
      <c r="E10" s="97">
        <v>0</v>
      </c>
      <c r="F10" s="97">
        <v>0</v>
      </c>
      <c r="G10" s="97">
        <v>5510680407</v>
      </c>
      <c r="H10" s="97">
        <v>0</v>
      </c>
      <c r="I10" s="97">
        <v>5510680407</v>
      </c>
      <c r="J10" s="97">
        <v>5510680407</v>
      </c>
      <c r="K10" s="97">
        <v>0</v>
      </c>
      <c r="L10" s="97">
        <v>0</v>
      </c>
      <c r="M10" s="97">
        <v>0</v>
      </c>
      <c r="N10" s="97">
        <v>0</v>
      </c>
      <c r="O10" s="97">
        <v>5510680407</v>
      </c>
      <c r="P10" s="97">
        <v>0</v>
      </c>
      <c r="Q10" s="97">
        <v>0</v>
      </c>
      <c r="R10" s="97">
        <v>0</v>
      </c>
      <c r="S10" s="97">
        <v>0</v>
      </c>
      <c r="T10" s="97">
        <v>399134406</v>
      </c>
      <c r="U10" s="97">
        <v>0</v>
      </c>
      <c r="V10" s="97">
        <v>399134406</v>
      </c>
      <c r="W10" s="97">
        <v>399134406</v>
      </c>
      <c r="X10" s="97"/>
      <c r="Y10" s="97">
        <v>0</v>
      </c>
      <c r="Z10" s="97">
        <v>0</v>
      </c>
      <c r="AA10" s="97">
        <v>0</v>
      </c>
      <c r="AB10" s="97">
        <v>399134406</v>
      </c>
      <c r="AC10" s="97">
        <v>0</v>
      </c>
      <c r="AD10" s="97">
        <v>0</v>
      </c>
      <c r="AE10" s="97">
        <v>0</v>
      </c>
      <c r="AF10" s="97">
        <v>0</v>
      </c>
      <c r="AG10" s="97">
        <v>2392466337</v>
      </c>
      <c r="AH10" s="97">
        <v>0</v>
      </c>
      <c r="AI10" s="97">
        <v>2392466337</v>
      </c>
      <c r="AJ10" s="97">
        <v>2392466337</v>
      </c>
      <c r="AK10" s="97">
        <v>0</v>
      </c>
      <c r="AL10" s="97">
        <v>0</v>
      </c>
      <c r="AM10" s="97">
        <v>0</v>
      </c>
      <c r="AN10" s="97">
        <v>0</v>
      </c>
      <c r="AO10" s="97">
        <v>2392466337</v>
      </c>
      <c r="AP10" s="97">
        <v>0</v>
      </c>
      <c r="AQ10" s="97">
        <v>0</v>
      </c>
      <c r="AR10" s="97">
        <v>0</v>
      </c>
      <c r="AS10" s="97">
        <v>0</v>
      </c>
      <c r="AT10" s="97">
        <v>2477098571</v>
      </c>
      <c r="AU10" s="97">
        <v>0</v>
      </c>
      <c r="AV10" s="97">
        <v>2477098571</v>
      </c>
      <c r="AW10" s="97">
        <v>2477098571</v>
      </c>
      <c r="AX10" s="97">
        <v>0</v>
      </c>
      <c r="AY10" s="97">
        <v>0</v>
      </c>
      <c r="AZ10" s="97">
        <v>0</v>
      </c>
      <c r="BA10" s="97">
        <v>0</v>
      </c>
      <c r="BB10" s="97">
        <v>2477098571</v>
      </c>
      <c r="BC10" s="97">
        <v>0</v>
      </c>
      <c r="BD10" s="97">
        <v>0</v>
      </c>
      <c r="BE10" s="97">
        <v>0</v>
      </c>
      <c r="BF10" s="97">
        <v>0</v>
      </c>
      <c r="BG10" s="97">
        <v>53212142</v>
      </c>
      <c r="BH10" s="97">
        <v>0</v>
      </c>
      <c r="BI10" s="97">
        <v>53212142</v>
      </c>
      <c r="BJ10" s="97">
        <v>53212142</v>
      </c>
      <c r="BK10" s="97">
        <v>0</v>
      </c>
      <c r="BL10" s="97">
        <v>0</v>
      </c>
      <c r="BM10" s="97">
        <v>0</v>
      </c>
      <c r="BN10" s="97">
        <v>0</v>
      </c>
      <c r="BO10" s="97">
        <v>53212142</v>
      </c>
      <c r="BP10" s="97">
        <v>0</v>
      </c>
      <c r="BQ10" s="97">
        <v>0</v>
      </c>
      <c r="BR10" s="97">
        <v>0</v>
      </c>
      <c r="BS10" s="97">
        <v>0</v>
      </c>
      <c r="BT10" s="97">
        <v>236601657</v>
      </c>
      <c r="BU10" s="97">
        <v>0</v>
      </c>
      <c r="BV10" s="97">
        <v>236601657</v>
      </c>
      <c r="BW10" s="97">
        <v>236601657</v>
      </c>
      <c r="BX10" s="97">
        <v>0</v>
      </c>
      <c r="BY10" s="97">
        <v>0</v>
      </c>
      <c r="BZ10" s="97">
        <v>0</v>
      </c>
      <c r="CA10" s="97">
        <v>0</v>
      </c>
      <c r="CB10" s="97">
        <v>236601657</v>
      </c>
      <c r="CC10" s="97">
        <v>0</v>
      </c>
      <c r="CD10" s="97">
        <v>0</v>
      </c>
      <c r="CE10" s="97">
        <v>0</v>
      </c>
      <c r="CF10" s="97">
        <v>0</v>
      </c>
      <c r="CG10" s="97">
        <v>5309766</v>
      </c>
      <c r="CH10" s="97">
        <v>0</v>
      </c>
      <c r="CI10" s="97">
        <v>5309766</v>
      </c>
      <c r="CJ10" s="97">
        <v>5309766</v>
      </c>
      <c r="CK10" s="97">
        <v>0</v>
      </c>
      <c r="CL10" s="97">
        <v>0</v>
      </c>
      <c r="CM10" s="97">
        <v>0</v>
      </c>
      <c r="CN10" s="97">
        <v>0</v>
      </c>
      <c r="CO10" s="97">
        <v>5309766</v>
      </c>
      <c r="CP10" s="97">
        <v>0</v>
      </c>
      <c r="CQ10" s="97">
        <v>0</v>
      </c>
      <c r="CR10" s="97">
        <v>0</v>
      </c>
      <c r="CS10" s="97">
        <v>0</v>
      </c>
      <c r="CT10" s="97">
        <v>69670</v>
      </c>
      <c r="CU10" s="97">
        <v>0</v>
      </c>
      <c r="CV10" s="97">
        <v>69670</v>
      </c>
      <c r="CW10" s="97">
        <v>69670</v>
      </c>
      <c r="CX10" s="97">
        <v>0</v>
      </c>
      <c r="CY10" s="97">
        <v>0</v>
      </c>
      <c r="CZ10" s="97">
        <v>0</v>
      </c>
      <c r="DA10" s="97">
        <v>0</v>
      </c>
      <c r="DB10" s="97">
        <v>69670</v>
      </c>
    </row>
    <row r="11" spans="1:113" x14ac:dyDescent="0.2">
      <c r="A11" s="95" t="s">
        <v>211</v>
      </c>
      <c r="B11" s="96" t="s">
        <v>212</v>
      </c>
      <c r="C11" s="97">
        <v>0</v>
      </c>
      <c r="D11" s="97">
        <v>0</v>
      </c>
      <c r="E11" s="97">
        <v>0</v>
      </c>
      <c r="F11" s="97">
        <v>0</v>
      </c>
      <c r="G11" s="97">
        <v>415726415513</v>
      </c>
      <c r="H11" s="97">
        <v>0</v>
      </c>
      <c r="I11" s="97">
        <v>415726415513</v>
      </c>
      <c r="J11" s="97">
        <v>415726415513</v>
      </c>
      <c r="K11" s="97">
        <v>0</v>
      </c>
      <c r="L11" s="97">
        <v>0</v>
      </c>
      <c r="M11" s="97">
        <v>0</v>
      </c>
      <c r="N11" s="97">
        <v>0</v>
      </c>
      <c r="O11" s="97">
        <v>415726415513</v>
      </c>
      <c r="P11" s="97">
        <v>0</v>
      </c>
      <c r="Q11" s="97">
        <v>0</v>
      </c>
      <c r="R11" s="97">
        <v>0</v>
      </c>
      <c r="S11" s="97">
        <v>0</v>
      </c>
      <c r="T11" s="97">
        <v>30612886937</v>
      </c>
      <c r="U11" s="97">
        <v>0</v>
      </c>
      <c r="V11" s="97">
        <v>30612886937</v>
      </c>
      <c r="W11" s="97">
        <v>30612886937</v>
      </c>
      <c r="X11" s="97"/>
      <c r="Y11" s="97">
        <v>0</v>
      </c>
      <c r="Z11" s="97">
        <v>0</v>
      </c>
      <c r="AA11" s="97">
        <v>0</v>
      </c>
      <c r="AB11" s="97">
        <v>30612886937</v>
      </c>
      <c r="AC11" s="97">
        <v>0</v>
      </c>
      <c r="AD11" s="97">
        <v>0</v>
      </c>
      <c r="AE11" s="97">
        <v>0</v>
      </c>
      <c r="AF11" s="97">
        <v>0</v>
      </c>
      <c r="AG11" s="97">
        <v>180783738455</v>
      </c>
      <c r="AH11" s="97">
        <v>0</v>
      </c>
      <c r="AI11" s="97">
        <v>180783738455</v>
      </c>
      <c r="AJ11" s="97">
        <v>180783738455</v>
      </c>
      <c r="AK11" s="97">
        <v>0</v>
      </c>
      <c r="AL11" s="97">
        <v>0</v>
      </c>
      <c r="AM11" s="97">
        <v>0</v>
      </c>
      <c r="AN11" s="97">
        <v>0</v>
      </c>
      <c r="AO11" s="97">
        <v>180783738455</v>
      </c>
      <c r="AP11" s="97">
        <v>0</v>
      </c>
      <c r="AQ11" s="97">
        <v>0</v>
      </c>
      <c r="AR11" s="97">
        <v>0</v>
      </c>
      <c r="AS11" s="97">
        <v>0</v>
      </c>
      <c r="AT11" s="97">
        <v>181343631005</v>
      </c>
      <c r="AU11" s="97">
        <v>0</v>
      </c>
      <c r="AV11" s="97">
        <v>181343631005</v>
      </c>
      <c r="AW11" s="97">
        <v>181343631005</v>
      </c>
      <c r="AX11" s="97">
        <v>0</v>
      </c>
      <c r="AY11" s="97">
        <v>0</v>
      </c>
      <c r="AZ11" s="97">
        <v>0</v>
      </c>
      <c r="BA11" s="97">
        <v>0</v>
      </c>
      <c r="BB11" s="97">
        <v>181343631005</v>
      </c>
      <c r="BC11" s="97">
        <v>0</v>
      </c>
      <c r="BD11" s="97">
        <v>0</v>
      </c>
      <c r="BE11" s="97">
        <v>0</v>
      </c>
      <c r="BF11" s="97">
        <v>0</v>
      </c>
      <c r="BG11" s="97">
        <v>5373163809</v>
      </c>
      <c r="BH11" s="97">
        <v>0</v>
      </c>
      <c r="BI11" s="97">
        <v>5373163809</v>
      </c>
      <c r="BJ11" s="97">
        <v>5373163809</v>
      </c>
      <c r="BK11" s="97">
        <v>0</v>
      </c>
      <c r="BL11" s="97">
        <v>0</v>
      </c>
      <c r="BM11" s="97">
        <v>0</v>
      </c>
      <c r="BN11" s="97">
        <v>0</v>
      </c>
      <c r="BO11" s="97">
        <v>5373163809</v>
      </c>
      <c r="BP11" s="97">
        <v>0</v>
      </c>
      <c r="BQ11" s="97">
        <v>0</v>
      </c>
      <c r="BR11" s="97">
        <v>0</v>
      </c>
      <c r="BS11" s="97">
        <v>0</v>
      </c>
      <c r="BT11" s="97">
        <v>22677495519</v>
      </c>
      <c r="BU11" s="97">
        <v>0</v>
      </c>
      <c r="BV11" s="97">
        <v>22677495519</v>
      </c>
      <c r="BW11" s="97">
        <v>22677495519</v>
      </c>
      <c r="BX11" s="97">
        <v>0</v>
      </c>
      <c r="BY11" s="97">
        <v>0</v>
      </c>
      <c r="BZ11" s="97">
        <v>0</v>
      </c>
      <c r="CA11" s="97">
        <v>0</v>
      </c>
      <c r="CB11" s="97">
        <v>22677495519</v>
      </c>
      <c r="CC11" s="97">
        <v>0</v>
      </c>
      <c r="CD11" s="97">
        <v>0</v>
      </c>
      <c r="CE11" s="97">
        <v>0</v>
      </c>
      <c r="CF11" s="97">
        <v>0</v>
      </c>
      <c r="CG11" s="97">
        <v>304011039</v>
      </c>
      <c r="CH11" s="97">
        <v>0</v>
      </c>
      <c r="CI11" s="97">
        <v>304011039</v>
      </c>
      <c r="CJ11" s="97">
        <v>304011039</v>
      </c>
      <c r="CK11" s="97">
        <v>0</v>
      </c>
      <c r="CL11" s="97">
        <v>0</v>
      </c>
      <c r="CM11" s="97">
        <v>0</v>
      </c>
      <c r="CN11" s="97">
        <v>0</v>
      </c>
      <c r="CO11" s="97">
        <v>304011039</v>
      </c>
      <c r="CP11" s="97">
        <v>0</v>
      </c>
      <c r="CQ11" s="97">
        <v>0</v>
      </c>
      <c r="CR11" s="97">
        <v>0</v>
      </c>
      <c r="CS11" s="97">
        <v>0</v>
      </c>
      <c r="CT11" s="97">
        <v>4652558</v>
      </c>
      <c r="CU11" s="97">
        <v>0</v>
      </c>
      <c r="CV11" s="97">
        <v>4652558</v>
      </c>
      <c r="CW11" s="97">
        <v>4652558</v>
      </c>
      <c r="CX11" s="97">
        <v>0</v>
      </c>
      <c r="CY11" s="97">
        <v>0</v>
      </c>
      <c r="CZ11" s="97">
        <v>0</v>
      </c>
      <c r="DA11" s="97">
        <v>0</v>
      </c>
      <c r="DB11" s="97">
        <v>4652558</v>
      </c>
      <c r="DC11"/>
    </row>
    <row r="12" spans="1:113" ht="25.5" x14ac:dyDescent="0.2">
      <c r="A12" s="95" t="s">
        <v>213</v>
      </c>
      <c r="B12" s="96" t="s">
        <v>214</v>
      </c>
      <c r="C12" s="97">
        <v>0</v>
      </c>
      <c r="D12" s="97">
        <v>0</v>
      </c>
      <c r="E12" s="97">
        <v>0</v>
      </c>
      <c r="F12" s="97">
        <v>0</v>
      </c>
      <c r="G12" s="97">
        <v>257244320963</v>
      </c>
      <c r="H12" s="97">
        <v>0</v>
      </c>
      <c r="I12" s="97">
        <v>257244320963</v>
      </c>
      <c r="J12" s="97">
        <v>257244320963</v>
      </c>
      <c r="K12" s="97">
        <v>0</v>
      </c>
      <c r="L12" s="97">
        <v>0</v>
      </c>
      <c r="M12" s="97">
        <v>0</v>
      </c>
      <c r="N12" s="97">
        <v>0</v>
      </c>
      <c r="O12" s="97">
        <v>257244320963</v>
      </c>
      <c r="P12" s="97">
        <v>0</v>
      </c>
      <c r="Q12" s="97">
        <v>0</v>
      </c>
      <c r="R12" s="97">
        <v>0</v>
      </c>
      <c r="S12" s="97">
        <v>0</v>
      </c>
      <c r="T12" s="97">
        <v>15920672660</v>
      </c>
      <c r="U12" s="97">
        <v>0</v>
      </c>
      <c r="V12" s="97">
        <v>15920672660</v>
      </c>
      <c r="W12" s="97">
        <v>15920672660</v>
      </c>
      <c r="X12" s="97"/>
      <c r="Y12" s="97">
        <v>0</v>
      </c>
      <c r="Z12" s="97">
        <v>0</v>
      </c>
      <c r="AA12" s="97">
        <v>0</v>
      </c>
      <c r="AB12" s="97">
        <v>15920672660</v>
      </c>
      <c r="AC12" s="97">
        <v>0</v>
      </c>
      <c r="AD12" s="97">
        <v>0</v>
      </c>
      <c r="AE12" s="97">
        <v>0</v>
      </c>
      <c r="AF12" s="97">
        <v>0</v>
      </c>
      <c r="AG12" s="97">
        <v>93442985751</v>
      </c>
      <c r="AH12" s="97">
        <v>0</v>
      </c>
      <c r="AI12" s="97">
        <v>93442985751</v>
      </c>
      <c r="AJ12" s="97">
        <v>93442985751</v>
      </c>
      <c r="AK12" s="97">
        <v>0</v>
      </c>
      <c r="AL12" s="97">
        <v>0</v>
      </c>
      <c r="AM12" s="97">
        <v>0</v>
      </c>
      <c r="AN12" s="97">
        <v>0</v>
      </c>
      <c r="AO12" s="97">
        <v>93442985751</v>
      </c>
      <c r="AP12" s="97">
        <v>0</v>
      </c>
      <c r="AQ12" s="97">
        <v>0</v>
      </c>
      <c r="AR12" s="97">
        <v>0</v>
      </c>
      <c r="AS12" s="97">
        <v>0</v>
      </c>
      <c r="AT12" s="97">
        <v>121132738219</v>
      </c>
      <c r="AU12" s="97">
        <v>0</v>
      </c>
      <c r="AV12" s="97">
        <v>121132738219</v>
      </c>
      <c r="AW12" s="97">
        <v>121132738219</v>
      </c>
      <c r="AX12" s="97">
        <v>0</v>
      </c>
      <c r="AY12" s="97">
        <v>0</v>
      </c>
      <c r="AZ12" s="97">
        <v>0</v>
      </c>
      <c r="BA12" s="97">
        <v>0</v>
      </c>
      <c r="BB12" s="97">
        <v>121132738219</v>
      </c>
      <c r="BC12" s="97">
        <v>0</v>
      </c>
      <c r="BD12" s="97">
        <v>0</v>
      </c>
      <c r="BE12" s="97">
        <v>0</v>
      </c>
      <c r="BF12" s="97">
        <v>0</v>
      </c>
      <c r="BG12" s="97">
        <v>4985761069</v>
      </c>
      <c r="BH12" s="97">
        <v>0</v>
      </c>
      <c r="BI12" s="97">
        <v>4985761069</v>
      </c>
      <c r="BJ12" s="97">
        <v>4985761069</v>
      </c>
      <c r="BK12" s="97">
        <v>0</v>
      </c>
      <c r="BL12" s="97">
        <v>0</v>
      </c>
      <c r="BM12" s="97">
        <v>0</v>
      </c>
      <c r="BN12" s="97">
        <v>0</v>
      </c>
      <c r="BO12" s="97">
        <v>4985761069</v>
      </c>
      <c r="BP12" s="97">
        <v>0</v>
      </c>
      <c r="BQ12" s="97">
        <v>0</v>
      </c>
      <c r="BR12" s="97">
        <v>0</v>
      </c>
      <c r="BS12" s="97">
        <v>0</v>
      </c>
      <c r="BT12" s="97">
        <v>26249509788</v>
      </c>
      <c r="BU12" s="97">
        <v>0</v>
      </c>
      <c r="BV12" s="97">
        <v>26249509788</v>
      </c>
      <c r="BW12" s="97">
        <v>26249509788</v>
      </c>
      <c r="BX12" s="97">
        <v>0</v>
      </c>
      <c r="BY12" s="97">
        <v>0</v>
      </c>
      <c r="BZ12" s="97">
        <v>0</v>
      </c>
      <c r="CA12" s="97">
        <v>0</v>
      </c>
      <c r="CB12" s="97">
        <v>26249509788</v>
      </c>
      <c r="CC12" s="97">
        <v>0</v>
      </c>
      <c r="CD12" s="97">
        <v>0</v>
      </c>
      <c r="CE12" s="97">
        <v>0</v>
      </c>
      <c r="CF12" s="97">
        <v>0</v>
      </c>
      <c r="CG12" s="97">
        <v>304010071</v>
      </c>
      <c r="CH12" s="97">
        <v>0</v>
      </c>
      <c r="CI12" s="97">
        <v>304010071</v>
      </c>
      <c r="CJ12" s="97">
        <v>304010071</v>
      </c>
      <c r="CK12" s="97">
        <v>0</v>
      </c>
      <c r="CL12" s="97">
        <v>0</v>
      </c>
      <c r="CM12" s="97">
        <v>0</v>
      </c>
      <c r="CN12" s="97">
        <v>0</v>
      </c>
      <c r="CO12" s="97">
        <v>304010071</v>
      </c>
      <c r="CP12" s="97">
        <v>0</v>
      </c>
      <c r="CQ12" s="97">
        <v>0</v>
      </c>
      <c r="CR12" s="97">
        <v>0</v>
      </c>
      <c r="CS12" s="97">
        <v>0</v>
      </c>
      <c r="CT12" s="97">
        <v>194404474</v>
      </c>
      <c r="CU12" s="97">
        <v>0</v>
      </c>
      <c r="CV12" s="97">
        <v>194404474</v>
      </c>
      <c r="CW12" s="97">
        <v>194404474</v>
      </c>
      <c r="CX12" s="97">
        <v>0</v>
      </c>
      <c r="CY12" s="97">
        <v>0</v>
      </c>
      <c r="CZ12" s="97">
        <v>0</v>
      </c>
      <c r="DA12" s="97">
        <v>0</v>
      </c>
      <c r="DB12" s="97">
        <v>194404474</v>
      </c>
    </row>
    <row r="13" spans="1:113" x14ac:dyDescent="0.2">
      <c r="A13" s="95" t="s">
        <v>215</v>
      </c>
      <c r="B13" s="96" t="s">
        <v>216</v>
      </c>
      <c r="C13" s="97">
        <v>0</v>
      </c>
      <c r="D13" s="97">
        <v>0</v>
      </c>
      <c r="E13" s="97">
        <v>0</v>
      </c>
      <c r="F13" s="97">
        <v>0</v>
      </c>
      <c r="G13" s="97">
        <v>5643743818</v>
      </c>
      <c r="H13" s="97">
        <v>0</v>
      </c>
      <c r="I13" s="97">
        <v>5643743818</v>
      </c>
      <c r="J13" s="97">
        <v>5643743818</v>
      </c>
      <c r="K13" s="97">
        <v>0</v>
      </c>
      <c r="L13" s="97">
        <v>0</v>
      </c>
      <c r="M13" s="97">
        <v>0</v>
      </c>
      <c r="N13" s="97">
        <v>0</v>
      </c>
      <c r="O13" s="97">
        <v>5643743818</v>
      </c>
      <c r="P13" s="97">
        <v>0</v>
      </c>
      <c r="Q13" s="97">
        <v>0</v>
      </c>
      <c r="R13" s="97">
        <v>0</v>
      </c>
      <c r="S13" s="97">
        <v>0</v>
      </c>
      <c r="T13" s="97">
        <v>421323089</v>
      </c>
      <c r="U13" s="97">
        <v>0</v>
      </c>
      <c r="V13" s="97">
        <v>421323089</v>
      </c>
      <c r="W13" s="97">
        <v>421323089</v>
      </c>
      <c r="X13" s="97"/>
      <c r="Y13" s="97">
        <v>0</v>
      </c>
      <c r="Z13" s="97">
        <v>0</v>
      </c>
      <c r="AA13" s="97">
        <v>0</v>
      </c>
      <c r="AB13" s="97">
        <v>421323089</v>
      </c>
      <c r="AC13" s="97">
        <v>0</v>
      </c>
      <c r="AD13" s="97">
        <v>0</v>
      </c>
      <c r="AE13" s="97">
        <v>0</v>
      </c>
      <c r="AF13" s="97">
        <v>0</v>
      </c>
      <c r="AG13" s="97">
        <v>3087755974</v>
      </c>
      <c r="AH13" s="97">
        <v>0</v>
      </c>
      <c r="AI13" s="97">
        <v>3087755974</v>
      </c>
      <c r="AJ13" s="97">
        <v>3087755974</v>
      </c>
      <c r="AK13" s="97">
        <v>0</v>
      </c>
      <c r="AL13" s="97">
        <v>0</v>
      </c>
      <c r="AM13" s="97">
        <v>0</v>
      </c>
      <c r="AN13" s="97">
        <v>0</v>
      </c>
      <c r="AO13" s="97">
        <v>3087755974</v>
      </c>
      <c r="AP13" s="97">
        <v>0</v>
      </c>
      <c r="AQ13" s="97">
        <v>0</v>
      </c>
      <c r="AR13" s="97">
        <v>0</v>
      </c>
      <c r="AS13" s="97">
        <v>0</v>
      </c>
      <c r="AT13" s="97">
        <v>1710935198</v>
      </c>
      <c r="AU13" s="97">
        <v>0</v>
      </c>
      <c r="AV13" s="97">
        <v>1710935198</v>
      </c>
      <c r="AW13" s="97">
        <v>1710935198</v>
      </c>
      <c r="AX13" s="97">
        <v>0</v>
      </c>
      <c r="AY13" s="97">
        <v>0</v>
      </c>
      <c r="AZ13" s="97">
        <v>0</v>
      </c>
      <c r="BA13" s="97">
        <v>0</v>
      </c>
      <c r="BB13" s="97">
        <v>1710935198</v>
      </c>
      <c r="BC13" s="97">
        <v>0</v>
      </c>
      <c r="BD13" s="97">
        <v>0</v>
      </c>
      <c r="BE13" s="97">
        <v>0</v>
      </c>
      <c r="BF13" s="97">
        <v>0</v>
      </c>
      <c r="BG13" s="97">
        <v>45982974</v>
      </c>
      <c r="BH13" s="97">
        <v>0</v>
      </c>
      <c r="BI13" s="97">
        <v>45982974</v>
      </c>
      <c r="BJ13" s="97">
        <v>45982974</v>
      </c>
      <c r="BK13" s="97">
        <v>0</v>
      </c>
      <c r="BL13" s="97">
        <v>0</v>
      </c>
      <c r="BM13" s="97">
        <v>0</v>
      </c>
      <c r="BN13" s="97">
        <v>0</v>
      </c>
      <c r="BO13" s="97">
        <v>45982974</v>
      </c>
      <c r="BP13" s="97">
        <v>0</v>
      </c>
      <c r="BQ13" s="97">
        <v>0</v>
      </c>
      <c r="BR13" s="97">
        <v>0</v>
      </c>
      <c r="BS13" s="97">
        <v>0</v>
      </c>
      <c r="BT13" s="97">
        <v>418784951</v>
      </c>
      <c r="BU13" s="97">
        <v>0</v>
      </c>
      <c r="BV13" s="97">
        <v>418784951</v>
      </c>
      <c r="BW13" s="97">
        <v>418784951</v>
      </c>
      <c r="BX13" s="97">
        <v>0</v>
      </c>
      <c r="BY13" s="97">
        <v>0</v>
      </c>
      <c r="BZ13" s="97">
        <v>0</v>
      </c>
      <c r="CA13" s="97">
        <v>0</v>
      </c>
      <c r="CB13" s="97">
        <v>418784951</v>
      </c>
      <c r="CC13" s="97">
        <v>0</v>
      </c>
      <c r="CD13" s="97">
        <v>0</v>
      </c>
      <c r="CE13" s="97">
        <v>0</v>
      </c>
      <c r="CF13" s="97">
        <v>0</v>
      </c>
      <c r="CG13" s="97">
        <v>4944606</v>
      </c>
      <c r="CH13" s="97">
        <v>0</v>
      </c>
      <c r="CI13" s="97">
        <v>4944606</v>
      </c>
      <c r="CJ13" s="97">
        <v>4944606</v>
      </c>
      <c r="CK13" s="97">
        <v>0</v>
      </c>
      <c r="CL13" s="97">
        <v>0</v>
      </c>
      <c r="CM13" s="97">
        <v>0</v>
      </c>
      <c r="CN13" s="97">
        <v>0</v>
      </c>
      <c r="CO13" s="97">
        <v>4944606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  <c r="CY13" s="97">
        <v>0</v>
      </c>
      <c r="CZ13" s="97">
        <v>0</v>
      </c>
      <c r="DA13" s="97">
        <v>0</v>
      </c>
      <c r="DB13" s="97">
        <v>0</v>
      </c>
    </row>
    <row r="14" spans="1:113" x14ac:dyDescent="0.2">
      <c r="A14" s="95" t="s">
        <v>217</v>
      </c>
      <c r="B14" s="96" t="s">
        <v>218</v>
      </c>
      <c r="C14" s="97">
        <v>0</v>
      </c>
      <c r="D14" s="97">
        <v>0</v>
      </c>
      <c r="E14" s="97">
        <v>0</v>
      </c>
      <c r="F14" s="97">
        <v>0</v>
      </c>
      <c r="G14" s="97">
        <v>13722184193</v>
      </c>
      <c r="H14" s="97">
        <v>0</v>
      </c>
      <c r="I14" s="97">
        <v>13722184193</v>
      </c>
      <c r="J14" s="97">
        <v>13722184193</v>
      </c>
      <c r="K14" s="97">
        <v>0</v>
      </c>
      <c r="L14" s="97">
        <v>0</v>
      </c>
      <c r="M14" s="97">
        <v>0</v>
      </c>
      <c r="N14" s="97">
        <v>0</v>
      </c>
      <c r="O14" s="97">
        <v>13722184193</v>
      </c>
      <c r="P14" s="97">
        <v>0</v>
      </c>
      <c r="Q14" s="97">
        <v>0</v>
      </c>
      <c r="R14" s="97">
        <v>0</v>
      </c>
      <c r="S14" s="97">
        <v>0</v>
      </c>
      <c r="T14" s="97">
        <v>7245065127</v>
      </c>
      <c r="U14" s="97">
        <v>0</v>
      </c>
      <c r="V14" s="97">
        <v>7245065127</v>
      </c>
      <c r="W14" s="97">
        <v>7245065127</v>
      </c>
      <c r="X14" s="97"/>
      <c r="Y14" s="97">
        <v>0</v>
      </c>
      <c r="Z14" s="97">
        <v>0</v>
      </c>
      <c r="AA14" s="97">
        <v>0</v>
      </c>
      <c r="AB14" s="97">
        <v>7245065127</v>
      </c>
      <c r="AC14" s="97">
        <v>0</v>
      </c>
      <c r="AD14" s="97">
        <v>0</v>
      </c>
      <c r="AE14" s="97">
        <v>0</v>
      </c>
      <c r="AF14" s="97">
        <v>0</v>
      </c>
      <c r="AG14" s="97">
        <v>4443867573</v>
      </c>
      <c r="AH14" s="97">
        <v>0</v>
      </c>
      <c r="AI14" s="97">
        <v>4443867573</v>
      </c>
      <c r="AJ14" s="97">
        <v>4443867573</v>
      </c>
      <c r="AK14" s="97">
        <v>0</v>
      </c>
      <c r="AL14" s="97">
        <v>0</v>
      </c>
      <c r="AM14" s="97">
        <v>0</v>
      </c>
      <c r="AN14" s="97">
        <v>0</v>
      </c>
      <c r="AO14" s="97">
        <v>4443867573</v>
      </c>
      <c r="AP14" s="97">
        <v>0</v>
      </c>
      <c r="AQ14" s="97">
        <v>0</v>
      </c>
      <c r="AR14" s="97">
        <v>0</v>
      </c>
      <c r="AS14" s="97">
        <v>0</v>
      </c>
      <c r="AT14" s="97">
        <v>1509111546</v>
      </c>
      <c r="AU14" s="97">
        <v>0</v>
      </c>
      <c r="AV14" s="97">
        <v>1509111546</v>
      </c>
      <c r="AW14" s="97">
        <v>1509111546</v>
      </c>
      <c r="AX14" s="97">
        <v>0</v>
      </c>
      <c r="AY14" s="97">
        <v>0</v>
      </c>
      <c r="AZ14" s="97">
        <v>0</v>
      </c>
      <c r="BA14" s="97">
        <v>0</v>
      </c>
      <c r="BB14" s="97">
        <v>1509111546</v>
      </c>
      <c r="BC14" s="97">
        <v>0</v>
      </c>
      <c r="BD14" s="97">
        <v>0</v>
      </c>
      <c r="BE14" s="97">
        <v>0</v>
      </c>
      <c r="BF14" s="97">
        <v>0</v>
      </c>
      <c r="BG14" s="97">
        <v>24917648</v>
      </c>
      <c r="BH14" s="97">
        <v>0</v>
      </c>
      <c r="BI14" s="97">
        <v>24917648</v>
      </c>
      <c r="BJ14" s="97">
        <v>24917648</v>
      </c>
      <c r="BK14" s="97">
        <v>0</v>
      </c>
      <c r="BL14" s="97">
        <v>0</v>
      </c>
      <c r="BM14" s="97">
        <v>0</v>
      </c>
      <c r="BN14" s="97">
        <v>0</v>
      </c>
      <c r="BO14" s="97">
        <v>24917648</v>
      </c>
      <c r="BP14" s="97">
        <v>0</v>
      </c>
      <c r="BQ14" s="97">
        <v>0</v>
      </c>
      <c r="BR14" s="97">
        <v>0</v>
      </c>
      <c r="BS14" s="97">
        <v>0</v>
      </c>
      <c r="BT14" s="97">
        <v>329167352</v>
      </c>
      <c r="BU14" s="97">
        <v>0</v>
      </c>
      <c r="BV14" s="97">
        <v>329167352</v>
      </c>
      <c r="BW14" s="97">
        <v>329167352</v>
      </c>
      <c r="BX14" s="97">
        <v>0</v>
      </c>
      <c r="BY14" s="97">
        <v>0</v>
      </c>
      <c r="BZ14" s="97">
        <v>0</v>
      </c>
      <c r="CA14" s="97">
        <v>0</v>
      </c>
      <c r="CB14" s="97">
        <v>329167352</v>
      </c>
      <c r="CC14" s="97">
        <v>0</v>
      </c>
      <c r="CD14" s="97">
        <v>0</v>
      </c>
      <c r="CE14" s="97">
        <v>0</v>
      </c>
      <c r="CF14" s="97">
        <v>0</v>
      </c>
      <c r="CG14" s="97">
        <v>1517758</v>
      </c>
      <c r="CH14" s="97">
        <v>0</v>
      </c>
      <c r="CI14" s="97">
        <v>1517758</v>
      </c>
      <c r="CJ14" s="97">
        <v>1517758</v>
      </c>
      <c r="CK14" s="97">
        <v>0</v>
      </c>
      <c r="CL14" s="97">
        <v>0</v>
      </c>
      <c r="CM14" s="97">
        <v>0</v>
      </c>
      <c r="CN14" s="97">
        <v>0</v>
      </c>
      <c r="CO14" s="97">
        <v>1517758</v>
      </c>
      <c r="CP14" s="97">
        <v>0</v>
      </c>
      <c r="CQ14" s="97">
        <v>0</v>
      </c>
      <c r="CR14" s="97">
        <v>0</v>
      </c>
      <c r="CS14" s="97">
        <v>0</v>
      </c>
      <c r="CT14" s="97">
        <v>193454837</v>
      </c>
      <c r="CU14" s="97">
        <v>0</v>
      </c>
      <c r="CV14" s="97">
        <v>193454837</v>
      </c>
      <c r="CW14" s="97">
        <v>193454837</v>
      </c>
      <c r="CX14" s="97">
        <v>0</v>
      </c>
      <c r="CY14" s="97">
        <v>0</v>
      </c>
      <c r="CZ14" s="97">
        <v>0</v>
      </c>
      <c r="DA14" s="97">
        <v>0</v>
      </c>
      <c r="DB14" s="97">
        <v>193454837</v>
      </c>
    </row>
    <row r="15" spans="1:113" x14ac:dyDescent="0.2">
      <c r="A15" s="95" t="s">
        <v>219</v>
      </c>
      <c r="B15" s="96" t="s">
        <v>220</v>
      </c>
      <c r="C15" s="97">
        <v>0</v>
      </c>
      <c r="D15" s="97">
        <v>0</v>
      </c>
      <c r="E15" s="97">
        <v>0</v>
      </c>
      <c r="F15" s="97">
        <v>0</v>
      </c>
      <c r="G15" s="97">
        <v>77392365887</v>
      </c>
      <c r="H15" s="97">
        <v>0</v>
      </c>
      <c r="I15" s="97">
        <v>77392365887</v>
      </c>
      <c r="J15" s="97">
        <v>77392365887</v>
      </c>
      <c r="K15" s="97">
        <v>0</v>
      </c>
      <c r="L15" s="97">
        <v>0</v>
      </c>
      <c r="M15" s="97">
        <v>0</v>
      </c>
      <c r="N15" s="97">
        <v>0</v>
      </c>
      <c r="O15" s="97">
        <v>77392365887</v>
      </c>
      <c r="P15" s="97">
        <v>0</v>
      </c>
      <c r="Q15" s="97">
        <v>0</v>
      </c>
      <c r="R15" s="97">
        <v>0</v>
      </c>
      <c r="S15" s="97">
        <v>0</v>
      </c>
      <c r="T15" s="97">
        <v>2525853898</v>
      </c>
      <c r="U15" s="97">
        <v>0</v>
      </c>
      <c r="V15" s="97">
        <v>2525853898</v>
      </c>
      <c r="W15" s="97">
        <v>2525853898</v>
      </c>
      <c r="X15" s="97"/>
      <c r="Y15" s="97">
        <v>0</v>
      </c>
      <c r="Z15" s="97">
        <v>0</v>
      </c>
      <c r="AA15" s="97">
        <v>0</v>
      </c>
      <c r="AB15" s="97">
        <v>2525853898</v>
      </c>
      <c r="AC15" s="97">
        <v>0</v>
      </c>
      <c r="AD15" s="97">
        <v>0</v>
      </c>
      <c r="AE15" s="97">
        <v>0</v>
      </c>
      <c r="AF15" s="97">
        <v>0</v>
      </c>
      <c r="AG15" s="97">
        <v>30208820443</v>
      </c>
      <c r="AH15" s="97">
        <v>0</v>
      </c>
      <c r="AI15" s="97">
        <v>30208820443</v>
      </c>
      <c r="AJ15" s="97">
        <v>30208820443</v>
      </c>
      <c r="AK15" s="97">
        <v>0</v>
      </c>
      <c r="AL15" s="97">
        <v>0</v>
      </c>
      <c r="AM15" s="97">
        <v>0</v>
      </c>
      <c r="AN15" s="97">
        <v>0</v>
      </c>
      <c r="AO15" s="97">
        <v>30208820443</v>
      </c>
      <c r="AP15" s="97">
        <v>0</v>
      </c>
      <c r="AQ15" s="97">
        <v>0</v>
      </c>
      <c r="AR15" s="97">
        <v>0</v>
      </c>
      <c r="AS15" s="97">
        <v>0</v>
      </c>
      <c r="AT15" s="97">
        <v>37295730379</v>
      </c>
      <c r="AU15" s="97">
        <v>0</v>
      </c>
      <c r="AV15" s="97">
        <v>37295730379</v>
      </c>
      <c r="AW15" s="97">
        <v>37295730379</v>
      </c>
      <c r="AX15" s="97">
        <v>0</v>
      </c>
      <c r="AY15" s="97">
        <v>0</v>
      </c>
      <c r="AZ15" s="97">
        <v>0</v>
      </c>
      <c r="BA15" s="97">
        <v>0</v>
      </c>
      <c r="BB15" s="97">
        <v>37295730379</v>
      </c>
      <c r="BC15" s="97">
        <v>0</v>
      </c>
      <c r="BD15" s="97">
        <v>0</v>
      </c>
      <c r="BE15" s="97">
        <v>0</v>
      </c>
      <c r="BF15" s="97">
        <v>0</v>
      </c>
      <c r="BG15" s="97">
        <v>1527882314</v>
      </c>
      <c r="BH15" s="97">
        <v>0</v>
      </c>
      <c r="BI15" s="97">
        <v>1527882314</v>
      </c>
      <c r="BJ15" s="97">
        <v>1527882314</v>
      </c>
      <c r="BK15" s="97">
        <v>0</v>
      </c>
      <c r="BL15" s="97">
        <v>0</v>
      </c>
      <c r="BM15" s="97">
        <v>0</v>
      </c>
      <c r="BN15" s="97">
        <v>0</v>
      </c>
      <c r="BO15" s="97">
        <v>1527882314</v>
      </c>
      <c r="BP15" s="97">
        <v>0</v>
      </c>
      <c r="BQ15" s="97">
        <v>0</v>
      </c>
      <c r="BR15" s="97">
        <v>0</v>
      </c>
      <c r="BS15" s="97">
        <v>0</v>
      </c>
      <c r="BT15" s="97">
        <v>7211709829</v>
      </c>
      <c r="BU15" s="97">
        <v>0</v>
      </c>
      <c r="BV15" s="97">
        <v>7211709829</v>
      </c>
      <c r="BW15" s="97">
        <v>7211709829</v>
      </c>
      <c r="BX15" s="97">
        <v>0</v>
      </c>
      <c r="BY15" s="97">
        <v>0</v>
      </c>
      <c r="BZ15" s="97">
        <v>0</v>
      </c>
      <c r="CA15" s="97">
        <v>0</v>
      </c>
      <c r="CB15" s="97">
        <v>7211709829</v>
      </c>
      <c r="CC15" s="97">
        <v>0</v>
      </c>
      <c r="CD15" s="97">
        <v>0</v>
      </c>
      <c r="CE15" s="97">
        <v>0</v>
      </c>
      <c r="CF15" s="97">
        <v>0</v>
      </c>
      <c r="CG15" s="97">
        <v>149817329</v>
      </c>
      <c r="CH15" s="97">
        <v>0</v>
      </c>
      <c r="CI15" s="97">
        <v>149817329</v>
      </c>
      <c r="CJ15" s="97">
        <v>149817329</v>
      </c>
      <c r="CK15" s="97">
        <v>0</v>
      </c>
      <c r="CL15" s="97">
        <v>0</v>
      </c>
      <c r="CM15" s="97">
        <v>0</v>
      </c>
      <c r="CN15" s="97">
        <v>0</v>
      </c>
      <c r="CO15" s="97">
        <v>149817329</v>
      </c>
      <c r="CP15" s="97">
        <v>0</v>
      </c>
      <c r="CQ15" s="97">
        <v>0</v>
      </c>
      <c r="CR15" s="97">
        <v>0</v>
      </c>
      <c r="CS15" s="97">
        <v>0</v>
      </c>
      <c r="CT15" s="97">
        <v>434009</v>
      </c>
      <c r="CU15" s="97">
        <v>0</v>
      </c>
      <c r="CV15" s="97">
        <v>434009</v>
      </c>
      <c r="CW15" s="97">
        <v>434009</v>
      </c>
      <c r="CX15" s="97">
        <v>0</v>
      </c>
      <c r="CY15" s="97">
        <v>0</v>
      </c>
      <c r="CZ15" s="97">
        <v>0</v>
      </c>
      <c r="DA15" s="97">
        <v>0</v>
      </c>
      <c r="DB15" s="97">
        <v>434009</v>
      </c>
    </row>
    <row r="16" spans="1:113" ht="25.5" x14ac:dyDescent="0.2">
      <c r="A16" s="95" t="s">
        <v>221</v>
      </c>
      <c r="B16" s="96" t="s">
        <v>222</v>
      </c>
      <c r="C16" s="97">
        <v>0</v>
      </c>
      <c r="D16" s="97">
        <v>0</v>
      </c>
      <c r="E16" s="97">
        <v>0</v>
      </c>
      <c r="F16" s="97">
        <v>0</v>
      </c>
      <c r="G16" s="97">
        <v>26373566688</v>
      </c>
      <c r="H16" s="97">
        <v>0</v>
      </c>
      <c r="I16" s="97">
        <v>26373566688</v>
      </c>
      <c r="J16" s="97">
        <v>26373566688</v>
      </c>
      <c r="K16" s="97">
        <v>0</v>
      </c>
      <c r="L16" s="97">
        <v>0</v>
      </c>
      <c r="M16" s="97">
        <v>0</v>
      </c>
      <c r="N16" s="97">
        <v>0</v>
      </c>
      <c r="O16" s="97">
        <v>26373566688</v>
      </c>
      <c r="P16" s="97">
        <v>0</v>
      </c>
      <c r="Q16" s="97">
        <v>0</v>
      </c>
      <c r="R16" s="97">
        <v>0</v>
      </c>
      <c r="S16" s="97">
        <v>0</v>
      </c>
      <c r="T16" s="97">
        <v>344043597</v>
      </c>
      <c r="U16" s="97">
        <v>0</v>
      </c>
      <c r="V16" s="97">
        <v>344043597</v>
      </c>
      <c r="W16" s="97">
        <v>344043597</v>
      </c>
      <c r="X16" s="97"/>
      <c r="Y16" s="97">
        <v>0</v>
      </c>
      <c r="Z16" s="97">
        <v>0</v>
      </c>
      <c r="AA16" s="97">
        <v>0</v>
      </c>
      <c r="AB16" s="97">
        <v>344043597</v>
      </c>
      <c r="AC16" s="97">
        <v>0</v>
      </c>
      <c r="AD16" s="97">
        <v>0</v>
      </c>
      <c r="AE16" s="97">
        <v>0</v>
      </c>
      <c r="AF16" s="97">
        <v>0</v>
      </c>
      <c r="AG16" s="97">
        <v>12992939377</v>
      </c>
      <c r="AH16" s="97">
        <v>0</v>
      </c>
      <c r="AI16" s="97">
        <v>12992939377</v>
      </c>
      <c r="AJ16" s="97">
        <v>12992939377</v>
      </c>
      <c r="AK16" s="97">
        <v>0</v>
      </c>
      <c r="AL16" s="97">
        <v>0</v>
      </c>
      <c r="AM16" s="97">
        <v>0</v>
      </c>
      <c r="AN16" s="97">
        <v>0</v>
      </c>
      <c r="AO16" s="97">
        <v>12992939377</v>
      </c>
      <c r="AP16" s="97">
        <v>0</v>
      </c>
      <c r="AQ16" s="97">
        <v>0</v>
      </c>
      <c r="AR16" s="97">
        <v>0</v>
      </c>
      <c r="AS16" s="97">
        <v>0</v>
      </c>
      <c r="AT16" s="97">
        <v>6067472768</v>
      </c>
      <c r="AU16" s="97">
        <v>0</v>
      </c>
      <c r="AV16" s="97">
        <v>6067472768</v>
      </c>
      <c r="AW16" s="97">
        <v>6067472768</v>
      </c>
      <c r="AX16" s="97">
        <v>0</v>
      </c>
      <c r="AY16" s="97">
        <v>0</v>
      </c>
      <c r="AZ16" s="97">
        <v>0</v>
      </c>
      <c r="BA16" s="97">
        <v>0</v>
      </c>
      <c r="BB16" s="97">
        <v>6067472768</v>
      </c>
      <c r="BC16" s="97">
        <v>0</v>
      </c>
      <c r="BD16" s="97">
        <v>0</v>
      </c>
      <c r="BE16" s="97">
        <v>0</v>
      </c>
      <c r="BF16" s="97">
        <v>0</v>
      </c>
      <c r="BG16" s="97">
        <v>455195027</v>
      </c>
      <c r="BH16" s="97">
        <v>0</v>
      </c>
      <c r="BI16" s="97">
        <v>455195027</v>
      </c>
      <c r="BJ16" s="97">
        <v>455195027</v>
      </c>
      <c r="BK16" s="97">
        <v>0</v>
      </c>
      <c r="BL16" s="97">
        <v>0</v>
      </c>
      <c r="BM16" s="97">
        <v>0</v>
      </c>
      <c r="BN16" s="97">
        <v>0</v>
      </c>
      <c r="BO16" s="97">
        <v>455195027</v>
      </c>
      <c r="BP16" s="97">
        <v>0</v>
      </c>
      <c r="BQ16" s="97">
        <v>0</v>
      </c>
      <c r="BR16" s="97">
        <v>0</v>
      </c>
      <c r="BS16" s="97">
        <v>0</v>
      </c>
      <c r="BT16" s="97">
        <v>6960471085</v>
      </c>
      <c r="BU16" s="97">
        <v>0</v>
      </c>
      <c r="BV16" s="97">
        <v>6960471085</v>
      </c>
      <c r="BW16" s="97">
        <v>6960471085</v>
      </c>
      <c r="BX16" s="97">
        <v>0</v>
      </c>
      <c r="BY16" s="97">
        <v>0</v>
      </c>
      <c r="BZ16" s="97">
        <v>0</v>
      </c>
      <c r="CA16" s="97">
        <v>0</v>
      </c>
      <c r="CB16" s="97">
        <v>6960471085</v>
      </c>
      <c r="CC16" s="97">
        <v>0</v>
      </c>
      <c r="CD16" s="97">
        <v>0</v>
      </c>
      <c r="CE16" s="97">
        <v>0</v>
      </c>
      <c r="CF16" s="97">
        <v>0</v>
      </c>
      <c r="CG16" s="97">
        <v>8639861</v>
      </c>
      <c r="CH16" s="97">
        <v>0</v>
      </c>
      <c r="CI16" s="97">
        <v>8639861</v>
      </c>
      <c r="CJ16" s="97">
        <v>8639861</v>
      </c>
      <c r="CK16" s="97">
        <v>0</v>
      </c>
      <c r="CL16" s="97">
        <v>0</v>
      </c>
      <c r="CM16" s="97">
        <v>0</v>
      </c>
      <c r="CN16" s="97">
        <v>0</v>
      </c>
      <c r="CO16" s="97">
        <v>8639861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  <c r="CX16" s="97">
        <v>0</v>
      </c>
      <c r="CY16" s="97">
        <v>0</v>
      </c>
      <c r="CZ16" s="97">
        <v>0</v>
      </c>
      <c r="DA16" s="97">
        <v>0</v>
      </c>
      <c r="DB16" s="97">
        <v>0</v>
      </c>
    </row>
    <row r="17" spans="1:106" ht="25.5" x14ac:dyDescent="0.2">
      <c r="A17" s="95" t="s">
        <v>223</v>
      </c>
      <c r="B17" s="96" t="s">
        <v>224</v>
      </c>
      <c r="C17" s="97">
        <v>0</v>
      </c>
      <c r="D17" s="97">
        <v>0</v>
      </c>
      <c r="E17" s="97">
        <v>0</v>
      </c>
      <c r="F17" s="97">
        <v>0</v>
      </c>
      <c r="G17" s="97">
        <v>59582945126</v>
      </c>
      <c r="H17" s="97">
        <v>0</v>
      </c>
      <c r="I17" s="97">
        <v>59582945126</v>
      </c>
      <c r="J17" s="97">
        <v>59582945126</v>
      </c>
      <c r="K17" s="97">
        <v>0</v>
      </c>
      <c r="L17" s="97">
        <v>0</v>
      </c>
      <c r="M17" s="97">
        <v>0</v>
      </c>
      <c r="N17" s="97">
        <v>0</v>
      </c>
      <c r="O17" s="97">
        <v>59582945126</v>
      </c>
      <c r="P17" s="97">
        <v>0</v>
      </c>
      <c r="Q17" s="97">
        <v>0</v>
      </c>
      <c r="R17" s="97">
        <v>0</v>
      </c>
      <c r="S17" s="97">
        <v>0</v>
      </c>
      <c r="T17" s="97">
        <v>2368379109</v>
      </c>
      <c r="U17" s="97">
        <v>0</v>
      </c>
      <c r="V17" s="97">
        <v>2368379109</v>
      </c>
      <c r="W17" s="97">
        <v>2368379109</v>
      </c>
      <c r="X17" s="97"/>
      <c r="Y17" s="97">
        <v>0</v>
      </c>
      <c r="Z17" s="97">
        <v>0</v>
      </c>
      <c r="AA17" s="97">
        <v>0</v>
      </c>
      <c r="AB17" s="97">
        <v>2368379109</v>
      </c>
      <c r="AC17" s="97">
        <v>0</v>
      </c>
      <c r="AD17" s="97">
        <v>0</v>
      </c>
      <c r="AE17" s="97">
        <v>0</v>
      </c>
      <c r="AF17" s="97">
        <v>0</v>
      </c>
      <c r="AG17" s="97">
        <v>19954093327</v>
      </c>
      <c r="AH17" s="97">
        <v>0</v>
      </c>
      <c r="AI17" s="97">
        <v>19954093327</v>
      </c>
      <c r="AJ17" s="97">
        <v>19954093327</v>
      </c>
      <c r="AK17" s="97">
        <v>0</v>
      </c>
      <c r="AL17" s="97">
        <v>0</v>
      </c>
      <c r="AM17" s="97">
        <v>0</v>
      </c>
      <c r="AN17" s="97">
        <v>0</v>
      </c>
      <c r="AO17" s="97">
        <v>19954093327</v>
      </c>
      <c r="AP17" s="97">
        <v>0</v>
      </c>
      <c r="AQ17" s="97">
        <v>0</v>
      </c>
      <c r="AR17" s="97">
        <v>0</v>
      </c>
      <c r="AS17" s="97">
        <v>0</v>
      </c>
      <c r="AT17" s="97">
        <v>31355201600</v>
      </c>
      <c r="AU17" s="97">
        <v>0</v>
      </c>
      <c r="AV17" s="97">
        <v>31355201600</v>
      </c>
      <c r="AW17" s="97">
        <v>31355201600</v>
      </c>
      <c r="AX17" s="97">
        <v>0</v>
      </c>
      <c r="AY17" s="97">
        <v>0</v>
      </c>
      <c r="AZ17" s="97">
        <v>0</v>
      </c>
      <c r="BA17" s="97">
        <v>0</v>
      </c>
      <c r="BB17" s="97">
        <v>31355201600</v>
      </c>
      <c r="BC17" s="97">
        <v>0</v>
      </c>
      <c r="BD17" s="97">
        <v>0</v>
      </c>
      <c r="BE17" s="97">
        <v>0</v>
      </c>
      <c r="BF17" s="97">
        <v>0</v>
      </c>
      <c r="BG17" s="97">
        <v>1052955865</v>
      </c>
      <c r="BH17" s="97">
        <v>0</v>
      </c>
      <c r="BI17" s="97">
        <v>1052955865</v>
      </c>
      <c r="BJ17" s="97">
        <v>1052955865</v>
      </c>
      <c r="BK17" s="97">
        <v>0</v>
      </c>
      <c r="BL17" s="97">
        <v>0</v>
      </c>
      <c r="BM17" s="97">
        <v>0</v>
      </c>
      <c r="BN17" s="97">
        <v>0</v>
      </c>
      <c r="BO17" s="97">
        <v>1052955865</v>
      </c>
      <c r="BP17" s="97">
        <v>0</v>
      </c>
      <c r="BQ17" s="97">
        <v>0</v>
      </c>
      <c r="BR17" s="97">
        <v>0</v>
      </c>
      <c r="BS17" s="97">
        <v>0</v>
      </c>
      <c r="BT17" s="97">
        <v>5858238777</v>
      </c>
      <c r="BU17" s="97">
        <v>0</v>
      </c>
      <c r="BV17" s="97">
        <v>5858238777</v>
      </c>
      <c r="BW17" s="97">
        <v>5858238777</v>
      </c>
      <c r="BX17" s="97">
        <v>0</v>
      </c>
      <c r="BY17" s="97">
        <v>0</v>
      </c>
      <c r="BZ17" s="97">
        <v>0</v>
      </c>
      <c r="CA17" s="97">
        <v>0</v>
      </c>
      <c r="CB17" s="97">
        <v>5858238777</v>
      </c>
      <c r="CC17" s="97">
        <v>0</v>
      </c>
      <c r="CD17" s="97">
        <v>0</v>
      </c>
      <c r="CE17" s="97">
        <v>0</v>
      </c>
      <c r="CF17" s="97">
        <v>0</v>
      </c>
      <c r="CG17" s="97">
        <v>46661571</v>
      </c>
      <c r="CH17" s="97">
        <v>0</v>
      </c>
      <c r="CI17" s="97">
        <v>46661571</v>
      </c>
      <c r="CJ17" s="97">
        <v>46661571</v>
      </c>
      <c r="CK17" s="97">
        <v>0</v>
      </c>
      <c r="CL17" s="97">
        <v>0</v>
      </c>
      <c r="CM17" s="97">
        <v>0</v>
      </c>
      <c r="CN17" s="97">
        <v>0</v>
      </c>
      <c r="CO17" s="97">
        <v>46661571</v>
      </c>
      <c r="CP17" s="97">
        <v>0</v>
      </c>
      <c r="CQ17" s="97">
        <v>0</v>
      </c>
      <c r="CR17" s="97">
        <v>0</v>
      </c>
      <c r="CS17" s="97">
        <v>0</v>
      </c>
      <c r="CT17" s="97">
        <v>370742</v>
      </c>
      <c r="CU17" s="97">
        <v>0</v>
      </c>
      <c r="CV17" s="97">
        <v>370742</v>
      </c>
      <c r="CW17" s="97">
        <v>370742</v>
      </c>
      <c r="CX17" s="97">
        <v>0</v>
      </c>
      <c r="CY17" s="97">
        <v>0</v>
      </c>
      <c r="CZ17" s="97">
        <v>0</v>
      </c>
      <c r="DA17" s="97">
        <v>0</v>
      </c>
      <c r="DB17" s="97">
        <v>370742</v>
      </c>
    </row>
    <row r="18" spans="1:106" x14ac:dyDescent="0.2">
      <c r="A18" s="95" t="s">
        <v>225</v>
      </c>
      <c r="B18" s="96" t="s">
        <v>226</v>
      </c>
      <c r="C18" s="97">
        <v>0</v>
      </c>
      <c r="D18" s="97">
        <v>0</v>
      </c>
      <c r="E18" s="97">
        <v>0</v>
      </c>
      <c r="F18" s="97">
        <v>0</v>
      </c>
      <c r="G18" s="97">
        <v>74363524677</v>
      </c>
      <c r="H18" s="97">
        <v>0</v>
      </c>
      <c r="I18" s="97">
        <v>74363524677</v>
      </c>
      <c r="J18" s="97">
        <v>74363524677</v>
      </c>
      <c r="K18" s="97">
        <v>0</v>
      </c>
      <c r="L18" s="97">
        <v>0</v>
      </c>
      <c r="M18" s="97">
        <v>0</v>
      </c>
      <c r="N18" s="97">
        <v>0</v>
      </c>
      <c r="O18" s="97">
        <v>74363524677</v>
      </c>
      <c r="P18" s="97">
        <v>0</v>
      </c>
      <c r="Q18" s="97">
        <v>0</v>
      </c>
      <c r="R18" s="97">
        <v>0</v>
      </c>
      <c r="S18" s="97">
        <v>0</v>
      </c>
      <c r="T18" s="97">
        <v>2942737960</v>
      </c>
      <c r="U18" s="97">
        <v>0</v>
      </c>
      <c r="V18" s="97">
        <v>2942737960</v>
      </c>
      <c r="W18" s="97">
        <v>2942737960</v>
      </c>
      <c r="X18" s="97"/>
      <c r="Y18" s="97">
        <v>0</v>
      </c>
      <c r="Z18" s="97">
        <v>0</v>
      </c>
      <c r="AA18" s="97">
        <v>0</v>
      </c>
      <c r="AB18" s="97">
        <v>2942737960</v>
      </c>
      <c r="AC18" s="97">
        <v>0</v>
      </c>
      <c r="AD18" s="97">
        <v>0</v>
      </c>
      <c r="AE18" s="97">
        <v>0</v>
      </c>
      <c r="AF18" s="97">
        <v>0</v>
      </c>
      <c r="AG18" s="97">
        <v>22697969880</v>
      </c>
      <c r="AH18" s="97">
        <v>0</v>
      </c>
      <c r="AI18" s="97">
        <v>22697969880</v>
      </c>
      <c r="AJ18" s="97">
        <v>22697969880</v>
      </c>
      <c r="AK18" s="97">
        <v>0</v>
      </c>
      <c r="AL18" s="97">
        <v>0</v>
      </c>
      <c r="AM18" s="97">
        <v>0</v>
      </c>
      <c r="AN18" s="97">
        <v>0</v>
      </c>
      <c r="AO18" s="97">
        <v>22697969880</v>
      </c>
      <c r="AP18" s="97">
        <v>0</v>
      </c>
      <c r="AQ18" s="97">
        <v>0</v>
      </c>
      <c r="AR18" s="97">
        <v>0</v>
      </c>
      <c r="AS18" s="97">
        <v>0</v>
      </c>
      <c r="AT18" s="97">
        <v>43161878500</v>
      </c>
      <c r="AU18" s="97">
        <v>0</v>
      </c>
      <c r="AV18" s="97">
        <v>43161878500</v>
      </c>
      <c r="AW18" s="97">
        <v>43161878500</v>
      </c>
      <c r="AX18" s="97">
        <v>0</v>
      </c>
      <c r="AY18" s="97">
        <v>0</v>
      </c>
      <c r="AZ18" s="97">
        <v>0</v>
      </c>
      <c r="BA18" s="97">
        <v>0</v>
      </c>
      <c r="BB18" s="97">
        <v>43161878500</v>
      </c>
      <c r="BC18" s="97">
        <v>0</v>
      </c>
      <c r="BD18" s="97">
        <v>0</v>
      </c>
      <c r="BE18" s="97">
        <v>0</v>
      </c>
      <c r="BF18" s="97">
        <v>0</v>
      </c>
      <c r="BG18" s="97">
        <v>1878042219</v>
      </c>
      <c r="BH18" s="97">
        <v>0</v>
      </c>
      <c r="BI18" s="97">
        <v>1878042219</v>
      </c>
      <c r="BJ18" s="97">
        <v>1878042219</v>
      </c>
      <c r="BK18" s="97">
        <v>0</v>
      </c>
      <c r="BL18" s="97">
        <v>0</v>
      </c>
      <c r="BM18" s="97">
        <v>0</v>
      </c>
      <c r="BN18" s="97">
        <v>0</v>
      </c>
      <c r="BO18" s="97">
        <v>1878042219</v>
      </c>
      <c r="BP18" s="97">
        <v>0</v>
      </c>
      <c r="BQ18" s="97">
        <v>0</v>
      </c>
      <c r="BR18" s="97">
        <v>0</v>
      </c>
      <c r="BS18" s="97">
        <v>0</v>
      </c>
      <c r="BT18" s="97">
        <v>5468415507</v>
      </c>
      <c r="BU18" s="97">
        <v>0</v>
      </c>
      <c r="BV18" s="97">
        <v>5468415507</v>
      </c>
      <c r="BW18" s="97">
        <v>5468415507</v>
      </c>
      <c r="BX18" s="97">
        <v>0</v>
      </c>
      <c r="BY18" s="97">
        <v>0</v>
      </c>
      <c r="BZ18" s="97">
        <v>0</v>
      </c>
      <c r="CA18" s="97">
        <v>0</v>
      </c>
      <c r="CB18" s="97">
        <v>5468415507</v>
      </c>
      <c r="CC18" s="97">
        <v>0</v>
      </c>
      <c r="CD18" s="97">
        <v>0</v>
      </c>
      <c r="CE18" s="97">
        <v>0</v>
      </c>
      <c r="CF18" s="97">
        <v>0</v>
      </c>
      <c r="CG18" s="97">
        <v>92380134</v>
      </c>
      <c r="CH18" s="97">
        <v>0</v>
      </c>
      <c r="CI18" s="97">
        <v>92380134</v>
      </c>
      <c r="CJ18" s="97">
        <v>92380134</v>
      </c>
      <c r="CK18" s="97">
        <v>0</v>
      </c>
      <c r="CL18" s="97">
        <v>0</v>
      </c>
      <c r="CM18" s="97">
        <v>0</v>
      </c>
      <c r="CN18" s="97">
        <v>0</v>
      </c>
      <c r="CO18" s="97">
        <v>92380134</v>
      </c>
      <c r="CP18" s="97">
        <v>0</v>
      </c>
      <c r="CQ18" s="97">
        <v>0</v>
      </c>
      <c r="CR18" s="97">
        <v>0</v>
      </c>
      <c r="CS18" s="97">
        <v>0</v>
      </c>
      <c r="CT18" s="97">
        <v>142696</v>
      </c>
      <c r="CU18" s="97">
        <v>0</v>
      </c>
      <c r="CV18" s="97">
        <v>142696</v>
      </c>
      <c r="CW18" s="97">
        <v>142696</v>
      </c>
      <c r="CX18" s="97">
        <v>0</v>
      </c>
      <c r="CY18" s="97">
        <v>0</v>
      </c>
      <c r="CZ18" s="97">
        <v>0</v>
      </c>
      <c r="DA18" s="97">
        <v>0</v>
      </c>
      <c r="DB18" s="97">
        <v>142696</v>
      </c>
    </row>
    <row r="19" spans="1:106" x14ac:dyDescent="0.2">
      <c r="A19" s="95" t="s">
        <v>227</v>
      </c>
      <c r="B19" s="96" t="s">
        <v>228</v>
      </c>
      <c r="C19" s="97">
        <v>0</v>
      </c>
      <c r="D19" s="97">
        <v>0</v>
      </c>
      <c r="E19" s="97">
        <v>0</v>
      </c>
      <c r="F19" s="97">
        <v>0</v>
      </c>
      <c r="G19" s="97">
        <v>9531520656</v>
      </c>
      <c r="H19" s="97">
        <v>0</v>
      </c>
      <c r="I19" s="97">
        <v>9531520656</v>
      </c>
      <c r="J19" s="97">
        <v>9531520656</v>
      </c>
      <c r="K19" s="97">
        <v>0</v>
      </c>
      <c r="L19" s="97">
        <v>0</v>
      </c>
      <c r="M19" s="97">
        <v>0</v>
      </c>
      <c r="N19" s="97">
        <v>0</v>
      </c>
      <c r="O19" s="97">
        <v>9531520656</v>
      </c>
      <c r="P19" s="97">
        <v>0</v>
      </c>
      <c r="Q19" s="97">
        <v>0</v>
      </c>
      <c r="R19" s="97">
        <v>0</v>
      </c>
      <c r="S19" s="97">
        <v>0</v>
      </c>
      <c r="T19" s="97">
        <v>22879808</v>
      </c>
      <c r="U19" s="97">
        <v>0</v>
      </c>
      <c r="V19" s="97">
        <v>22879808</v>
      </c>
      <c r="W19" s="97">
        <v>22879808</v>
      </c>
      <c r="X19" s="97"/>
      <c r="Y19" s="97">
        <v>0</v>
      </c>
      <c r="Z19" s="97">
        <v>0</v>
      </c>
      <c r="AA19" s="97">
        <v>0</v>
      </c>
      <c r="AB19" s="97">
        <v>22879808</v>
      </c>
      <c r="AC19" s="97">
        <v>0</v>
      </c>
      <c r="AD19" s="97">
        <v>0</v>
      </c>
      <c r="AE19" s="97">
        <v>0</v>
      </c>
      <c r="AF19" s="97">
        <v>0</v>
      </c>
      <c r="AG19" s="97">
        <v>5019258571</v>
      </c>
      <c r="AH19" s="97">
        <v>0</v>
      </c>
      <c r="AI19" s="97">
        <v>5019258571</v>
      </c>
      <c r="AJ19" s="97">
        <v>5019258571</v>
      </c>
      <c r="AK19" s="97">
        <v>0</v>
      </c>
      <c r="AL19" s="97">
        <v>0</v>
      </c>
      <c r="AM19" s="97">
        <v>0</v>
      </c>
      <c r="AN19" s="97">
        <v>0</v>
      </c>
      <c r="AO19" s="97">
        <v>5019258571</v>
      </c>
      <c r="AP19" s="97">
        <v>0</v>
      </c>
      <c r="AQ19" s="97">
        <v>0</v>
      </c>
      <c r="AR19" s="97">
        <v>0</v>
      </c>
      <c r="AS19" s="97">
        <v>0</v>
      </c>
      <c r="AT19" s="97">
        <v>3789553751</v>
      </c>
      <c r="AU19" s="97">
        <v>0</v>
      </c>
      <c r="AV19" s="97">
        <v>3789553751</v>
      </c>
      <c r="AW19" s="97">
        <v>3789553751</v>
      </c>
      <c r="AX19" s="97">
        <v>0</v>
      </c>
      <c r="AY19" s="97">
        <v>0</v>
      </c>
      <c r="AZ19" s="97">
        <v>0</v>
      </c>
      <c r="BA19" s="97">
        <v>0</v>
      </c>
      <c r="BB19" s="97">
        <v>3789553751</v>
      </c>
      <c r="BC19" s="97">
        <v>0</v>
      </c>
      <c r="BD19" s="97">
        <v>0</v>
      </c>
      <c r="BE19" s="97">
        <v>0</v>
      </c>
      <c r="BF19" s="97">
        <v>0</v>
      </c>
      <c r="BG19" s="97">
        <v>61743675</v>
      </c>
      <c r="BH19" s="97">
        <v>0</v>
      </c>
      <c r="BI19" s="97">
        <v>61743675</v>
      </c>
      <c r="BJ19" s="97">
        <v>61743675</v>
      </c>
      <c r="BK19" s="97">
        <v>0</v>
      </c>
      <c r="BL19" s="97">
        <v>0</v>
      </c>
      <c r="BM19" s="97">
        <v>0</v>
      </c>
      <c r="BN19" s="97">
        <v>0</v>
      </c>
      <c r="BO19" s="97">
        <v>61743675</v>
      </c>
      <c r="BP19" s="97">
        <v>0</v>
      </c>
      <c r="BQ19" s="97">
        <v>0</v>
      </c>
      <c r="BR19" s="97">
        <v>0</v>
      </c>
      <c r="BS19" s="97">
        <v>0</v>
      </c>
      <c r="BT19" s="97">
        <v>696328596</v>
      </c>
      <c r="BU19" s="97">
        <v>0</v>
      </c>
      <c r="BV19" s="97">
        <v>696328596</v>
      </c>
      <c r="BW19" s="97">
        <v>696328596</v>
      </c>
      <c r="BX19" s="97">
        <v>0</v>
      </c>
      <c r="BY19" s="97">
        <v>0</v>
      </c>
      <c r="BZ19" s="97">
        <v>0</v>
      </c>
      <c r="CA19" s="97">
        <v>0</v>
      </c>
      <c r="CB19" s="97">
        <v>696328596</v>
      </c>
      <c r="CC19" s="97">
        <v>0</v>
      </c>
      <c r="CD19" s="97">
        <v>0</v>
      </c>
      <c r="CE19" s="97">
        <v>0</v>
      </c>
      <c r="CF19" s="97">
        <v>0</v>
      </c>
      <c r="CG19" s="97">
        <v>3499930</v>
      </c>
      <c r="CH19" s="97">
        <v>0</v>
      </c>
      <c r="CI19" s="97">
        <v>3499930</v>
      </c>
      <c r="CJ19" s="97">
        <v>3499930</v>
      </c>
      <c r="CK19" s="97">
        <v>0</v>
      </c>
      <c r="CL19" s="97">
        <v>0</v>
      </c>
      <c r="CM19" s="97">
        <v>0</v>
      </c>
      <c r="CN19" s="97">
        <v>0</v>
      </c>
      <c r="CO19" s="97">
        <v>3499930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  <c r="CX19" s="97">
        <v>0</v>
      </c>
      <c r="CY19" s="97">
        <v>0</v>
      </c>
      <c r="CZ19" s="97">
        <v>0</v>
      </c>
      <c r="DA19" s="97">
        <v>0</v>
      </c>
      <c r="DB19" s="97">
        <v>0</v>
      </c>
    </row>
    <row r="20" spans="1:106" x14ac:dyDescent="0.2">
      <c r="A20" s="95" t="s">
        <v>229</v>
      </c>
      <c r="B20" s="96" t="s">
        <v>230</v>
      </c>
      <c r="C20" s="97">
        <v>0</v>
      </c>
      <c r="D20" s="97">
        <v>0</v>
      </c>
      <c r="E20" s="97">
        <v>0</v>
      </c>
      <c r="F20" s="97">
        <v>0</v>
      </c>
      <c r="G20" s="97">
        <v>165990574</v>
      </c>
      <c r="H20" s="97">
        <v>0</v>
      </c>
      <c r="I20" s="97">
        <v>165990574</v>
      </c>
      <c r="J20" s="97">
        <v>165990574</v>
      </c>
      <c r="K20" s="97">
        <v>0</v>
      </c>
      <c r="L20" s="97">
        <v>0</v>
      </c>
      <c r="M20" s="97">
        <v>0</v>
      </c>
      <c r="N20" s="97">
        <v>0</v>
      </c>
      <c r="O20" s="97">
        <v>165990574</v>
      </c>
      <c r="P20" s="97">
        <v>0</v>
      </c>
      <c r="Q20" s="97">
        <v>0</v>
      </c>
      <c r="R20" s="97">
        <v>0</v>
      </c>
      <c r="S20" s="97">
        <v>0</v>
      </c>
      <c r="T20" s="97">
        <v>73269880</v>
      </c>
      <c r="U20" s="97">
        <v>0</v>
      </c>
      <c r="V20" s="97">
        <v>73269880</v>
      </c>
      <c r="W20" s="97">
        <v>73269880</v>
      </c>
      <c r="X20" s="97"/>
      <c r="Y20" s="97">
        <v>0</v>
      </c>
      <c r="Z20" s="97">
        <v>0</v>
      </c>
      <c r="AA20" s="97">
        <v>0</v>
      </c>
      <c r="AB20" s="97">
        <v>73269880</v>
      </c>
      <c r="AC20" s="97">
        <v>0</v>
      </c>
      <c r="AD20" s="97">
        <v>0</v>
      </c>
      <c r="AE20" s="97">
        <v>0</v>
      </c>
      <c r="AF20" s="97">
        <v>0</v>
      </c>
      <c r="AG20" s="97">
        <v>57539177</v>
      </c>
      <c r="AH20" s="97">
        <v>0</v>
      </c>
      <c r="AI20" s="97">
        <v>57539177</v>
      </c>
      <c r="AJ20" s="97">
        <v>57539177</v>
      </c>
      <c r="AK20" s="97">
        <v>0</v>
      </c>
      <c r="AL20" s="97">
        <v>0</v>
      </c>
      <c r="AM20" s="97">
        <v>0</v>
      </c>
      <c r="AN20" s="97">
        <v>0</v>
      </c>
      <c r="AO20" s="97">
        <v>57539177</v>
      </c>
      <c r="AP20" s="97">
        <v>0</v>
      </c>
      <c r="AQ20" s="97">
        <v>0</v>
      </c>
      <c r="AR20" s="97">
        <v>0</v>
      </c>
      <c r="AS20" s="97">
        <v>0</v>
      </c>
      <c r="AT20" s="97">
        <v>32408228</v>
      </c>
      <c r="AU20" s="97">
        <v>0</v>
      </c>
      <c r="AV20" s="97">
        <v>32408228</v>
      </c>
      <c r="AW20" s="97">
        <v>32408228</v>
      </c>
      <c r="AX20" s="97">
        <v>0</v>
      </c>
      <c r="AY20" s="97">
        <v>0</v>
      </c>
      <c r="AZ20" s="97">
        <v>0</v>
      </c>
      <c r="BA20" s="97">
        <v>0</v>
      </c>
      <c r="BB20" s="97">
        <v>32408228</v>
      </c>
      <c r="BC20" s="97">
        <v>0</v>
      </c>
      <c r="BD20" s="97">
        <v>0</v>
      </c>
      <c r="BE20" s="97">
        <v>0</v>
      </c>
      <c r="BF20" s="97">
        <v>0</v>
      </c>
      <c r="BG20" s="97">
        <v>785022</v>
      </c>
      <c r="BH20" s="97">
        <v>0</v>
      </c>
      <c r="BI20" s="97">
        <v>785022</v>
      </c>
      <c r="BJ20" s="97">
        <v>785022</v>
      </c>
      <c r="BK20" s="97">
        <v>0</v>
      </c>
      <c r="BL20" s="97">
        <v>0</v>
      </c>
      <c r="BM20" s="97">
        <v>0</v>
      </c>
      <c r="BN20" s="97">
        <v>0</v>
      </c>
      <c r="BO20" s="97">
        <v>785022</v>
      </c>
      <c r="BP20" s="97">
        <v>0</v>
      </c>
      <c r="BQ20" s="97">
        <v>0</v>
      </c>
      <c r="BR20" s="97">
        <v>0</v>
      </c>
      <c r="BS20" s="97">
        <v>0</v>
      </c>
      <c r="BT20" s="97">
        <v>2722287</v>
      </c>
      <c r="BU20" s="97">
        <v>0</v>
      </c>
      <c r="BV20" s="97">
        <v>2722287</v>
      </c>
      <c r="BW20" s="97">
        <v>2722287</v>
      </c>
      <c r="BX20" s="97">
        <v>0</v>
      </c>
      <c r="BY20" s="97">
        <v>0</v>
      </c>
      <c r="BZ20" s="97">
        <v>0</v>
      </c>
      <c r="CA20" s="97">
        <v>0</v>
      </c>
      <c r="CB20" s="97">
        <v>2722287</v>
      </c>
      <c r="CC20" s="97">
        <v>0</v>
      </c>
      <c r="CD20" s="97">
        <v>0</v>
      </c>
      <c r="CE20" s="97">
        <v>0</v>
      </c>
      <c r="CF20" s="97">
        <v>0</v>
      </c>
      <c r="CG20" s="97">
        <v>48812</v>
      </c>
      <c r="CH20" s="97">
        <v>0</v>
      </c>
      <c r="CI20" s="97">
        <v>48812</v>
      </c>
      <c r="CJ20" s="97">
        <v>48812</v>
      </c>
      <c r="CK20" s="97">
        <v>0</v>
      </c>
      <c r="CL20" s="97">
        <v>0</v>
      </c>
      <c r="CM20" s="97">
        <v>0</v>
      </c>
      <c r="CN20" s="97">
        <v>0</v>
      </c>
      <c r="CO20" s="97">
        <v>48812</v>
      </c>
      <c r="CP20" s="97">
        <v>0</v>
      </c>
      <c r="CQ20" s="97">
        <v>0</v>
      </c>
      <c r="CR20" s="97">
        <v>0</v>
      </c>
      <c r="CS20" s="97">
        <v>0</v>
      </c>
      <c r="CT20" s="97">
        <v>2190</v>
      </c>
      <c r="CU20" s="97">
        <v>0</v>
      </c>
      <c r="CV20" s="97">
        <v>2190</v>
      </c>
      <c r="CW20" s="97">
        <v>2190</v>
      </c>
      <c r="CX20" s="97">
        <v>0</v>
      </c>
      <c r="CY20" s="97">
        <v>0</v>
      </c>
      <c r="CZ20" s="97">
        <v>0</v>
      </c>
      <c r="DA20" s="97">
        <v>0</v>
      </c>
      <c r="DB20" s="97">
        <v>2190</v>
      </c>
    </row>
    <row r="21" spans="1:106" x14ac:dyDescent="0.2">
      <c r="A21" s="95" t="s">
        <v>231</v>
      </c>
      <c r="B21" s="96" t="s">
        <v>232</v>
      </c>
      <c r="C21" s="97">
        <v>0</v>
      </c>
      <c r="D21" s="97">
        <v>0</v>
      </c>
      <c r="E21" s="97">
        <v>0</v>
      </c>
      <c r="F21" s="97">
        <v>0</v>
      </c>
      <c r="G21" s="97">
        <v>4802067759</v>
      </c>
      <c r="H21" s="97">
        <v>0</v>
      </c>
      <c r="I21" s="97">
        <v>4802067759</v>
      </c>
      <c r="J21" s="97">
        <v>4802067759</v>
      </c>
      <c r="K21" s="97">
        <v>0</v>
      </c>
      <c r="L21" s="97">
        <v>0</v>
      </c>
      <c r="M21" s="97">
        <v>0</v>
      </c>
      <c r="N21" s="97">
        <v>0</v>
      </c>
      <c r="O21" s="97">
        <v>4802067759</v>
      </c>
      <c r="P21" s="97">
        <v>0</v>
      </c>
      <c r="Q21" s="97">
        <v>0</v>
      </c>
      <c r="R21" s="97">
        <v>0</v>
      </c>
      <c r="S21" s="97">
        <v>0</v>
      </c>
      <c r="T21" s="97">
        <v>460287335</v>
      </c>
      <c r="U21" s="97">
        <v>0</v>
      </c>
      <c r="V21" s="97">
        <v>460287335</v>
      </c>
      <c r="W21" s="97">
        <v>460287335</v>
      </c>
      <c r="X21" s="97"/>
      <c r="Y21" s="97">
        <v>0</v>
      </c>
      <c r="Z21" s="97">
        <v>0</v>
      </c>
      <c r="AA21" s="97">
        <v>0</v>
      </c>
      <c r="AB21" s="97">
        <v>460287335</v>
      </c>
      <c r="AC21" s="97">
        <v>0</v>
      </c>
      <c r="AD21" s="97">
        <v>0</v>
      </c>
      <c r="AE21" s="97">
        <v>0</v>
      </c>
      <c r="AF21" s="97">
        <v>0</v>
      </c>
      <c r="AG21" s="97">
        <v>2268966016</v>
      </c>
      <c r="AH21" s="97">
        <v>0</v>
      </c>
      <c r="AI21" s="97">
        <v>2268966016</v>
      </c>
      <c r="AJ21" s="97">
        <v>2268966016</v>
      </c>
      <c r="AK21" s="97">
        <v>0</v>
      </c>
      <c r="AL21" s="97">
        <v>0</v>
      </c>
      <c r="AM21" s="97">
        <v>0</v>
      </c>
      <c r="AN21" s="97">
        <v>0</v>
      </c>
      <c r="AO21" s="97">
        <v>2268966016</v>
      </c>
      <c r="AP21" s="97">
        <v>0</v>
      </c>
      <c r="AQ21" s="97">
        <v>0</v>
      </c>
      <c r="AR21" s="97">
        <v>0</v>
      </c>
      <c r="AS21" s="97">
        <v>0</v>
      </c>
      <c r="AT21" s="97">
        <v>1879234250</v>
      </c>
      <c r="AU21" s="97">
        <v>0</v>
      </c>
      <c r="AV21" s="97">
        <v>1879234250</v>
      </c>
      <c r="AW21" s="97">
        <v>1879234250</v>
      </c>
      <c r="AX21" s="97">
        <v>0</v>
      </c>
      <c r="AY21" s="97">
        <v>0</v>
      </c>
      <c r="AZ21" s="97">
        <v>0</v>
      </c>
      <c r="BA21" s="97">
        <v>0</v>
      </c>
      <c r="BB21" s="97">
        <v>1879234250</v>
      </c>
      <c r="BC21" s="97">
        <v>0</v>
      </c>
      <c r="BD21" s="97">
        <v>0</v>
      </c>
      <c r="BE21" s="97">
        <v>0</v>
      </c>
      <c r="BF21" s="97">
        <v>0</v>
      </c>
      <c r="BG21" s="97">
        <v>44342285</v>
      </c>
      <c r="BH21" s="97">
        <v>0</v>
      </c>
      <c r="BI21" s="97">
        <v>44342285</v>
      </c>
      <c r="BJ21" s="97">
        <v>44342285</v>
      </c>
      <c r="BK21" s="97">
        <v>0</v>
      </c>
      <c r="BL21" s="97">
        <v>0</v>
      </c>
      <c r="BM21" s="97">
        <v>0</v>
      </c>
      <c r="BN21" s="97">
        <v>0</v>
      </c>
      <c r="BO21" s="97">
        <v>44342285</v>
      </c>
      <c r="BP21" s="97">
        <v>0</v>
      </c>
      <c r="BQ21" s="97">
        <v>0</v>
      </c>
      <c r="BR21" s="97">
        <v>0</v>
      </c>
      <c r="BS21" s="97">
        <v>0</v>
      </c>
      <c r="BT21" s="97">
        <v>188742909</v>
      </c>
      <c r="BU21" s="97">
        <v>0</v>
      </c>
      <c r="BV21" s="97">
        <v>188742909</v>
      </c>
      <c r="BW21" s="97">
        <v>188742909</v>
      </c>
      <c r="BX21" s="97">
        <v>0</v>
      </c>
      <c r="BY21" s="97">
        <v>0</v>
      </c>
      <c r="BZ21" s="97">
        <v>0</v>
      </c>
      <c r="CA21" s="97">
        <v>0</v>
      </c>
      <c r="CB21" s="97">
        <v>188742909</v>
      </c>
      <c r="CC21" s="97">
        <v>0</v>
      </c>
      <c r="CD21" s="97">
        <v>0</v>
      </c>
      <c r="CE21" s="97">
        <v>0</v>
      </c>
      <c r="CF21" s="97">
        <v>0</v>
      </c>
      <c r="CG21" s="97">
        <v>2733763</v>
      </c>
      <c r="CH21" s="97">
        <v>0</v>
      </c>
      <c r="CI21" s="97">
        <v>2733763</v>
      </c>
      <c r="CJ21" s="97">
        <v>2733763</v>
      </c>
      <c r="CK21" s="97">
        <v>0</v>
      </c>
      <c r="CL21" s="97">
        <v>0</v>
      </c>
      <c r="CM21" s="97">
        <v>0</v>
      </c>
      <c r="CN21" s="97">
        <v>0</v>
      </c>
      <c r="CO21" s="97">
        <v>2733763</v>
      </c>
      <c r="CP21" s="97">
        <v>0</v>
      </c>
      <c r="CQ21" s="97">
        <v>0</v>
      </c>
      <c r="CR21" s="97">
        <v>0</v>
      </c>
      <c r="CS21" s="97">
        <v>0</v>
      </c>
      <c r="CT21" s="97">
        <v>2103486</v>
      </c>
      <c r="CU21" s="97">
        <v>0</v>
      </c>
      <c r="CV21" s="97">
        <v>2103486</v>
      </c>
      <c r="CW21" s="97">
        <v>2103486</v>
      </c>
      <c r="CX21" s="97">
        <v>0</v>
      </c>
      <c r="CY21" s="97">
        <v>0</v>
      </c>
      <c r="CZ21" s="97">
        <v>0</v>
      </c>
      <c r="DA21" s="97">
        <v>0</v>
      </c>
      <c r="DB21" s="97">
        <v>2103486</v>
      </c>
    </row>
    <row r="22" spans="1:106" x14ac:dyDescent="0.2">
      <c r="A22" s="95" t="s">
        <v>233</v>
      </c>
      <c r="B22" s="96" t="s">
        <v>234</v>
      </c>
      <c r="C22" s="97">
        <v>0</v>
      </c>
      <c r="D22" s="97">
        <v>0</v>
      </c>
      <c r="E22" s="97">
        <v>0</v>
      </c>
      <c r="F22" s="97">
        <v>0</v>
      </c>
      <c r="G22" s="97">
        <v>16478108741</v>
      </c>
      <c r="H22" s="97">
        <v>0</v>
      </c>
      <c r="I22" s="97">
        <v>16478108741</v>
      </c>
      <c r="J22" s="97">
        <v>16478108741</v>
      </c>
      <c r="K22" s="97">
        <v>0</v>
      </c>
      <c r="L22" s="97">
        <v>0</v>
      </c>
      <c r="M22" s="97">
        <v>0</v>
      </c>
      <c r="N22" s="97">
        <v>0</v>
      </c>
      <c r="O22" s="97">
        <v>16478108741</v>
      </c>
      <c r="P22" s="97">
        <v>0</v>
      </c>
      <c r="Q22" s="97">
        <v>0</v>
      </c>
      <c r="R22" s="97">
        <v>0</v>
      </c>
      <c r="S22" s="97">
        <v>0</v>
      </c>
      <c r="T22" s="97">
        <v>495485050</v>
      </c>
      <c r="U22" s="97">
        <v>0</v>
      </c>
      <c r="V22" s="97">
        <v>495485050</v>
      </c>
      <c r="W22" s="97">
        <v>495485050</v>
      </c>
      <c r="X22" s="97"/>
      <c r="Y22" s="97">
        <v>0</v>
      </c>
      <c r="Z22" s="97">
        <v>0</v>
      </c>
      <c r="AA22" s="97">
        <v>0</v>
      </c>
      <c r="AB22" s="97">
        <v>495485050</v>
      </c>
      <c r="AC22" s="97">
        <v>0</v>
      </c>
      <c r="AD22" s="97">
        <v>0</v>
      </c>
      <c r="AE22" s="97">
        <v>0</v>
      </c>
      <c r="AF22" s="97">
        <v>0</v>
      </c>
      <c r="AG22" s="97">
        <v>6157405339</v>
      </c>
      <c r="AH22" s="97">
        <v>0</v>
      </c>
      <c r="AI22" s="97">
        <v>6157405339</v>
      </c>
      <c r="AJ22" s="97">
        <v>6157405339</v>
      </c>
      <c r="AK22" s="97">
        <v>0</v>
      </c>
      <c r="AL22" s="97">
        <v>0</v>
      </c>
      <c r="AM22" s="97">
        <v>0</v>
      </c>
      <c r="AN22" s="97">
        <v>0</v>
      </c>
      <c r="AO22" s="97">
        <v>6157405339</v>
      </c>
      <c r="AP22" s="97">
        <v>0</v>
      </c>
      <c r="AQ22" s="97">
        <v>0</v>
      </c>
      <c r="AR22" s="97">
        <v>0</v>
      </c>
      <c r="AS22" s="97">
        <v>0</v>
      </c>
      <c r="AT22" s="97">
        <v>8444380021</v>
      </c>
      <c r="AU22" s="97">
        <v>0</v>
      </c>
      <c r="AV22" s="97">
        <v>8444380021</v>
      </c>
      <c r="AW22" s="97">
        <v>8444380021</v>
      </c>
      <c r="AX22" s="97">
        <v>0</v>
      </c>
      <c r="AY22" s="97">
        <v>0</v>
      </c>
      <c r="AZ22" s="97">
        <v>0</v>
      </c>
      <c r="BA22" s="97">
        <v>0</v>
      </c>
      <c r="BB22" s="97">
        <v>8444380021</v>
      </c>
      <c r="BC22" s="97">
        <v>0</v>
      </c>
      <c r="BD22" s="97">
        <v>0</v>
      </c>
      <c r="BE22" s="97">
        <v>0</v>
      </c>
      <c r="BF22" s="97">
        <v>0</v>
      </c>
      <c r="BG22" s="97">
        <v>242758175</v>
      </c>
      <c r="BH22" s="97">
        <v>0</v>
      </c>
      <c r="BI22" s="97">
        <v>242758175</v>
      </c>
      <c r="BJ22" s="97">
        <v>242758175</v>
      </c>
      <c r="BK22" s="97">
        <v>0</v>
      </c>
      <c r="BL22" s="97">
        <v>0</v>
      </c>
      <c r="BM22" s="97">
        <v>0</v>
      </c>
      <c r="BN22" s="97">
        <v>0</v>
      </c>
      <c r="BO22" s="97">
        <v>242758175</v>
      </c>
      <c r="BP22" s="97">
        <v>0</v>
      </c>
      <c r="BQ22" s="97">
        <v>0</v>
      </c>
      <c r="BR22" s="97">
        <v>0</v>
      </c>
      <c r="BS22" s="97">
        <v>0</v>
      </c>
      <c r="BT22" s="97">
        <v>1371598483</v>
      </c>
      <c r="BU22" s="97">
        <v>0</v>
      </c>
      <c r="BV22" s="97">
        <v>1371598483</v>
      </c>
      <c r="BW22" s="97">
        <v>1371598483</v>
      </c>
      <c r="BX22" s="97">
        <v>0</v>
      </c>
      <c r="BY22" s="97">
        <v>0</v>
      </c>
      <c r="BZ22" s="97">
        <v>0</v>
      </c>
      <c r="CA22" s="97">
        <v>0</v>
      </c>
      <c r="CB22" s="97">
        <v>1371598483</v>
      </c>
      <c r="CC22" s="97">
        <v>0</v>
      </c>
      <c r="CD22" s="97">
        <v>0</v>
      </c>
      <c r="CE22" s="97">
        <v>0</v>
      </c>
      <c r="CF22" s="97">
        <v>0</v>
      </c>
      <c r="CG22" s="97">
        <v>9239848</v>
      </c>
      <c r="CH22" s="97">
        <v>0</v>
      </c>
      <c r="CI22" s="97">
        <v>9239848</v>
      </c>
      <c r="CJ22" s="97">
        <v>9239848</v>
      </c>
      <c r="CK22" s="97">
        <v>0</v>
      </c>
      <c r="CL22" s="97">
        <v>0</v>
      </c>
      <c r="CM22" s="97">
        <v>0</v>
      </c>
      <c r="CN22" s="97">
        <v>0</v>
      </c>
      <c r="CO22" s="97">
        <v>9239848</v>
      </c>
      <c r="CP22" s="97">
        <v>0</v>
      </c>
      <c r="CQ22" s="97">
        <v>0</v>
      </c>
      <c r="CR22" s="97">
        <v>0</v>
      </c>
      <c r="CS22" s="97">
        <v>0</v>
      </c>
      <c r="CT22" s="97">
        <v>0</v>
      </c>
      <c r="CU22" s="97">
        <v>0</v>
      </c>
      <c r="CV22" s="97">
        <v>0</v>
      </c>
      <c r="CW22" s="97">
        <v>0</v>
      </c>
      <c r="CX22" s="97">
        <v>0</v>
      </c>
      <c r="CY22" s="97">
        <v>0</v>
      </c>
      <c r="CZ22" s="97">
        <v>0</v>
      </c>
      <c r="DA22" s="97">
        <v>0</v>
      </c>
      <c r="DB22" s="97">
        <v>0</v>
      </c>
    </row>
    <row r="23" spans="1:106" ht="25.5" x14ac:dyDescent="0.2">
      <c r="A23" s="95" t="s">
        <v>235</v>
      </c>
      <c r="B23" s="96" t="s">
        <v>236</v>
      </c>
      <c r="C23" s="97">
        <v>0</v>
      </c>
      <c r="D23" s="97">
        <v>0</v>
      </c>
      <c r="E23" s="97">
        <v>0</v>
      </c>
      <c r="F23" s="97">
        <v>0</v>
      </c>
      <c r="G23" s="97">
        <v>640398101048</v>
      </c>
      <c r="H23" s="97">
        <v>0</v>
      </c>
      <c r="I23" s="97">
        <v>640398101048</v>
      </c>
      <c r="J23" s="97">
        <v>640398101048</v>
      </c>
      <c r="K23" s="97">
        <v>0</v>
      </c>
      <c r="L23" s="97">
        <v>0</v>
      </c>
      <c r="M23" s="97">
        <v>0</v>
      </c>
      <c r="N23" s="97">
        <v>0</v>
      </c>
      <c r="O23" s="97">
        <v>640398101048</v>
      </c>
      <c r="P23" s="97">
        <v>0</v>
      </c>
      <c r="Q23" s="97">
        <v>0</v>
      </c>
      <c r="R23" s="97">
        <v>0</v>
      </c>
      <c r="S23" s="97">
        <v>0</v>
      </c>
      <c r="T23" s="97">
        <v>15181348253</v>
      </c>
      <c r="U23" s="97">
        <v>0</v>
      </c>
      <c r="V23" s="97">
        <v>15181348253</v>
      </c>
      <c r="W23" s="97">
        <v>15181348253</v>
      </c>
      <c r="X23" s="97"/>
      <c r="Y23" s="97">
        <v>0</v>
      </c>
      <c r="Z23" s="97">
        <v>0</v>
      </c>
      <c r="AA23" s="97">
        <v>0</v>
      </c>
      <c r="AB23" s="97">
        <v>15181348253</v>
      </c>
      <c r="AC23" s="97">
        <v>0</v>
      </c>
      <c r="AD23" s="97">
        <v>0</v>
      </c>
      <c r="AE23" s="97">
        <v>0</v>
      </c>
      <c r="AF23" s="97">
        <v>0</v>
      </c>
      <c r="AG23" s="97">
        <v>120777090326</v>
      </c>
      <c r="AH23" s="97">
        <v>0</v>
      </c>
      <c r="AI23" s="97">
        <v>120777090326</v>
      </c>
      <c r="AJ23" s="97">
        <v>120777090326</v>
      </c>
      <c r="AK23" s="97">
        <v>0</v>
      </c>
      <c r="AL23" s="97">
        <v>0</v>
      </c>
      <c r="AM23" s="97">
        <v>0</v>
      </c>
      <c r="AN23" s="97">
        <v>0</v>
      </c>
      <c r="AO23" s="97">
        <v>120777090326</v>
      </c>
      <c r="AP23" s="97">
        <v>0</v>
      </c>
      <c r="AQ23" s="97">
        <v>0</v>
      </c>
      <c r="AR23" s="97">
        <v>0</v>
      </c>
      <c r="AS23" s="97">
        <v>0</v>
      </c>
      <c r="AT23" s="97">
        <v>341443098651</v>
      </c>
      <c r="AU23" s="97">
        <v>0</v>
      </c>
      <c r="AV23" s="97">
        <v>341443098651</v>
      </c>
      <c r="AW23" s="97">
        <v>341443098651</v>
      </c>
      <c r="AX23" s="97">
        <v>0</v>
      </c>
      <c r="AY23" s="97">
        <v>0</v>
      </c>
      <c r="AZ23" s="97">
        <v>0</v>
      </c>
      <c r="BA23" s="97">
        <v>0</v>
      </c>
      <c r="BB23" s="97">
        <v>341443098651</v>
      </c>
      <c r="BC23" s="97">
        <v>0</v>
      </c>
      <c r="BD23" s="97">
        <v>0</v>
      </c>
      <c r="BE23" s="97">
        <v>0</v>
      </c>
      <c r="BF23" s="97">
        <v>0</v>
      </c>
      <c r="BG23" s="97">
        <v>6815280725</v>
      </c>
      <c r="BH23" s="97">
        <v>0</v>
      </c>
      <c r="BI23" s="97">
        <v>6815280725</v>
      </c>
      <c r="BJ23" s="97">
        <v>6815280725</v>
      </c>
      <c r="BK23" s="97">
        <v>0</v>
      </c>
      <c r="BL23" s="97">
        <v>0</v>
      </c>
      <c r="BM23" s="97">
        <v>0</v>
      </c>
      <c r="BN23" s="97">
        <v>0</v>
      </c>
      <c r="BO23" s="97">
        <v>6815280725</v>
      </c>
      <c r="BP23" s="97">
        <v>0</v>
      </c>
      <c r="BQ23" s="97">
        <v>0</v>
      </c>
      <c r="BR23" s="97">
        <v>0</v>
      </c>
      <c r="BS23" s="97">
        <v>0</v>
      </c>
      <c r="BT23" s="97">
        <v>162475982133</v>
      </c>
      <c r="BU23" s="97">
        <v>0</v>
      </c>
      <c r="BV23" s="97">
        <v>162475982133</v>
      </c>
      <c r="BW23" s="97">
        <v>162475982133</v>
      </c>
      <c r="BX23" s="97">
        <v>0</v>
      </c>
      <c r="BY23" s="97">
        <v>0</v>
      </c>
      <c r="BZ23" s="97">
        <v>0</v>
      </c>
      <c r="CA23" s="97">
        <v>0</v>
      </c>
      <c r="CB23" s="97">
        <v>162475982133</v>
      </c>
      <c r="CC23" s="97">
        <v>0</v>
      </c>
      <c r="CD23" s="97">
        <v>0</v>
      </c>
      <c r="CE23" s="97">
        <v>0</v>
      </c>
      <c r="CF23" s="97">
        <v>0</v>
      </c>
      <c r="CG23" s="97">
        <v>453484186</v>
      </c>
      <c r="CH23" s="97">
        <v>0</v>
      </c>
      <c r="CI23" s="97">
        <v>453484186</v>
      </c>
      <c r="CJ23" s="97">
        <v>453484186</v>
      </c>
      <c r="CK23" s="97">
        <v>0</v>
      </c>
      <c r="CL23" s="97">
        <v>0</v>
      </c>
      <c r="CM23" s="97">
        <v>0</v>
      </c>
      <c r="CN23" s="97">
        <v>0</v>
      </c>
      <c r="CO23" s="97">
        <v>453484186</v>
      </c>
      <c r="CP23" s="97">
        <v>0</v>
      </c>
      <c r="CQ23" s="97">
        <v>0</v>
      </c>
      <c r="CR23" s="97">
        <v>0</v>
      </c>
      <c r="CS23" s="97">
        <v>0</v>
      </c>
      <c r="CT23" s="97">
        <v>67097499</v>
      </c>
      <c r="CU23" s="97">
        <v>0</v>
      </c>
      <c r="CV23" s="97">
        <v>67097499</v>
      </c>
      <c r="CW23" s="97">
        <v>67097499</v>
      </c>
      <c r="CX23" s="97">
        <v>0</v>
      </c>
      <c r="CY23" s="97">
        <v>0</v>
      </c>
      <c r="CZ23" s="97">
        <v>0</v>
      </c>
      <c r="DA23" s="97">
        <v>0</v>
      </c>
      <c r="DB23" s="97">
        <v>67097499</v>
      </c>
    </row>
    <row r="24" spans="1:106" ht="38.25" x14ac:dyDescent="0.2">
      <c r="A24" s="95" t="s">
        <v>237</v>
      </c>
      <c r="B24" s="96" t="s">
        <v>238</v>
      </c>
      <c r="C24" s="97">
        <v>0</v>
      </c>
      <c r="D24" s="97">
        <v>0</v>
      </c>
      <c r="E24" s="97">
        <v>0</v>
      </c>
      <c r="F24" s="97">
        <v>0</v>
      </c>
      <c r="G24" s="97">
        <v>18032392632</v>
      </c>
      <c r="H24" s="97">
        <v>0</v>
      </c>
      <c r="I24" s="97">
        <v>18032392632</v>
      </c>
      <c r="J24" s="97">
        <v>18032392632</v>
      </c>
      <c r="K24" s="97">
        <v>0</v>
      </c>
      <c r="L24" s="97">
        <v>0</v>
      </c>
      <c r="M24" s="97">
        <v>0</v>
      </c>
      <c r="N24" s="97">
        <v>0</v>
      </c>
      <c r="O24" s="97">
        <v>18032392632</v>
      </c>
      <c r="P24" s="97">
        <v>0</v>
      </c>
      <c r="Q24" s="97">
        <v>0</v>
      </c>
      <c r="R24" s="97">
        <v>0</v>
      </c>
      <c r="S24" s="97">
        <v>0</v>
      </c>
      <c r="T24" s="97">
        <v>764710394</v>
      </c>
      <c r="U24" s="97">
        <v>0</v>
      </c>
      <c r="V24" s="97">
        <v>764710394</v>
      </c>
      <c r="W24" s="97">
        <v>764710394</v>
      </c>
      <c r="X24" s="97"/>
      <c r="Y24" s="97">
        <v>0</v>
      </c>
      <c r="Z24" s="97">
        <v>0</v>
      </c>
      <c r="AA24" s="97">
        <v>0</v>
      </c>
      <c r="AB24" s="97">
        <v>764710394</v>
      </c>
      <c r="AC24" s="97">
        <v>0</v>
      </c>
      <c r="AD24" s="97">
        <v>0</v>
      </c>
      <c r="AE24" s="97">
        <v>0</v>
      </c>
      <c r="AF24" s="97">
        <v>0</v>
      </c>
      <c r="AG24" s="97">
        <v>7180775562</v>
      </c>
      <c r="AH24" s="97">
        <v>0</v>
      </c>
      <c r="AI24" s="97">
        <v>7180775562</v>
      </c>
      <c r="AJ24" s="97">
        <v>7180775562</v>
      </c>
      <c r="AK24" s="97">
        <v>0</v>
      </c>
      <c r="AL24" s="97">
        <v>0</v>
      </c>
      <c r="AM24" s="97">
        <v>0</v>
      </c>
      <c r="AN24" s="97">
        <v>0</v>
      </c>
      <c r="AO24" s="97">
        <v>7180775562</v>
      </c>
      <c r="AP24" s="97">
        <v>0</v>
      </c>
      <c r="AQ24" s="97">
        <v>0</v>
      </c>
      <c r="AR24" s="97">
        <v>0</v>
      </c>
      <c r="AS24" s="97">
        <v>0</v>
      </c>
      <c r="AT24" s="97">
        <v>8768408465</v>
      </c>
      <c r="AU24" s="97">
        <v>0</v>
      </c>
      <c r="AV24" s="97">
        <v>8768408465</v>
      </c>
      <c r="AW24" s="97">
        <v>8768408465</v>
      </c>
      <c r="AX24" s="97">
        <v>0</v>
      </c>
      <c r="AY24" s="97">
        <v>0</v>
      </c>
      <c r="AZ24" s="97">
        <v>0</v>
      </c>
      <c r="BA24" s="97">
        <v>0</v>
      </c>
      <c r="BB24" s="97">
        <v>8768408465</v>
      </c>
      <c r="BC24" s="97">
        <v>0</v>
      </c>
      <c r="BD24" s="97">
        <v>0</v>
      </c>
      <c r="BE24" s="97">
        <v>0</v>
      </c>
      <c r="BF24" s="97">
        <v>0</v>
      </c>
      <c r="BG24" s="97">
        <v>433329256</v>
      </c>
      <c r="BH24" s="97">
        <v>0</v>
      </c>
      <c r="BI24" s="97">
        <v>433329256</v>
      </c>
      <c r="BJ24" s="97">
        <v>433329256</v>
      </c>
      <c r="BK24" s="97">
        <v>0</v>
      </c>
      <c r="BL24" s="97">
        <v>0</v>
      </c>
      <c r="BM24" s="97">
        <v>0</v>
      </c>
      <c r="BN24" s="97">
        <v>0</v>
      </c>
      <c r="BO24" s="97">
        <v>433329256</v>
      </c>
      <c r="BP24" s="97">
        <v>0</v>
      </c>
      <c r="BQ24" s="97">
        <v>0</v>
      </c>
      <c r="BR24" s="97">
        <v>0</v>
      </c>
      <c r="BS24" s="97">
        <v>0</v>
      </c>
      <c r="BT24" s="97">
        <v>1299435262</v>
      </c>
      <c r="BU24" s="97">
        <v>0</v>
      </c>
      <c r="BV24" s="97">
        <v>1299435262</v>
      </c>
      <c r="BW24" s="97">
        <v>1299435262</v>
      </c>
      <c r="BX24" s="97">
        <v>0</v>
      </c>
      <c r="BY24" s="97">
        <v>0</v>
      </c>
      <c r="BZ24" s="97">
        <v>0</v>
      </c>
      <c r="CA24" s="97">
        <v>0</v>
      </c>
      <c r="CB24" s="97">
        <v>1299435262</v>
      </c>
      <c r="CC24" s="97">
        <v>0</v>
      </c>
      <c r="CD24" s="97">
        <v>0</v>
      </c>
      <c r="CE24" s="97">
        <v>0</v>
      </c>
      <c r="CF24" s="97">
        <v>0</v>
      </c>
      <c r="CG24" s="97">
        <v>17484327</v>
      </c>
      <c r="CH24" s="97">
        <v>0</v>
      </c>
      <c r="CI24" s="97">
        <v>17484327</v>
      </c>
      <c r="CJ24" s="97">
        <v>17484327</v>
      </c>
      <c r="CK24" s="97">
        <v>0</v>
      </c>
      <c r="CL24" s="97">
        <v>0</v>
      </c>
      <c r="CM24" s="97">
        <v>0</v>
      </c>
      <c r="CN24" s="97">
        <v>0</v>
      </c>
      <c r="CO24" s="97">
        <v>17484327</v>
      </c>
      <c r="CP24" s="97">
        <v>0</v>
      </c>
      <c r="CQ24" s="97">
        <v>0</v>
      </c>
      <c r="CR24" s="97">
        <v>0</v>
      </c>
      <c r="CS24" s="97">
        <v>0</v>
      </c>
      <c r="CT24" s="97">
        <v>1578622</v>
      </c>
      <c r="CU24" s="97">
        <v>0</v>
      </c>
      <c r="CV24" s="97">
        <v>1578622</v>
      </c>
      <c r="CW24" s="97">
        <v>1578622</v>
      </c>
      <c r="CX24" s="97">
        <v>0</v>
      </c>
      <c r="CY24" s="97">
        <v>0</v>
      </c>
      <c r="CZ24" s="97">
        <v>0</v>
      </c>
      <c r="DA24" s="97">
        <v>0</v>
      </c>
      <c r="DB24" s="97">
        <v>1578622</v>
      </c>
    </row>
    <row r="25" spans="1:106" x14ac:dyDescent="0.2">
      <c r="A25" s="95" t="s">
        <v>239</v>
      </c>
      <c r="B25" s="96" t="s">
        <v>240</v>
      </c>
      <c r="C25" s="97">
        <v>0</v>
      </c>
      <c r="D25" s="97">
        <v>0</v>
      </c>
      <c r="E25" s="97">
        <v>0</v>
      </c>
      <c r="F25" s="97">
        <v>0</v>
      </c>
      <c r="G25" s="97">
        <v>9565588972</v>
      </c>
      <c r="H25" s="97">
        <v>0</v>
      </c>
      <c r="I25" s="97">
        <v>9565588972</v>
      </c>
      <c r="J25" s="97">
        <v>9565588972</v>
      </c>
      <c r="K25" s="97">
        <v>0</v>
      </c>
      <c r="L25" s="97">
        <v>0</v>
      </c>
      <c r="M25" s="97">
        <v>0</v>
      </c>
      <c r="N25" s="97">
        <v>0</v>
      </c>
      <c r="O25" s="97">
        <v>9565588972</v>
      </c>
      <c r="P25" s="97">
        <v>0</v>
      </c>
      <c r="Q25" s="97">
        <v>0</v>
      </c>
      <c r="R25" s="97">
        <v>0</v>
      </c>
      <c r="S25" s="97">
        <v>0</v>
      </c>
      <c r="T25" s="97">
        <v>372171911</v>
      </c>
      <c r="U25" s="97">
        <v>0</v>
      </c>
      <c r="V25" s="97">
        <v>372171911</v>
      </c>
      <c r="W25" s="97">
        <v>372171911</v>
      </c>
      <c r="X25" s="97"/>
      <c r="Y25" s="97">
        <v>0</v>
      </c>
      <c r="Z25" s="97">
        <v>0</v>
      </c>
      <c r="AA25" s="97">
        <v>0</v>
      </c>
      <c r="AB25" s="97">
        <v>372171911</v>
      </c>
      <c r="AC25" s="97">
        <v>0</v>
      </c>
      <c r="AD25" s="97">
        <v>0</v>
      </c>
      <c r="AE25" s="97">
        <v>0</v>
      </c>
      <c r="AF25" s="97">
        <v>0</v>
      </c>
      <c r="AG25" s="97">
        <v>3850187657</v>
      </c>
      <c r="AH25" s="97">
        <v>0</v>
      </c>
      <c r="AI25" s="97">
        <v>3850187657</v>
      </c>
      <c r="AJ25" s="97">
        <v>3850187657</v>
      </c>
      <c r="AK25" s="97">
        <v>0</v>
      </c>
      <c r="AL25" s="97">
        <v>0</v>
      </c>
      <c r="AM25" s="97">
        <v>0</v>
      </c>
      <c r="AN25" s="97">
        <v>0</v>
      </c>
      <c r="AO25" s="97">
        <v>3850187657</v>
      </c>
      <c r="AP25" s="97">
        <v>0</v>
      </c>
      <c r="AQ25" s="97">
        <v>0</v>
      </c>
      <c r="AR25" s="97">
        <v>0</v>
      </c>
      <c r="AS25" s="97">
        <v>0</v>
      </c>
      <c r="AT25" s="97">
        <v>4473341937</v>
      </c>
      <c r="AU25" s="97">
        <v>0</v>
      </c>
      <c r="AV25" s="97">
        <v>4473341937</v>
      </c>
      <c r="AW25" s="97">
        <v>4473341937</v>
      </c>
      <c r="AX25" s="97">
        <v>0</v>
      </c>
      <c r="AY25" s="97">
        <v>0</v>
      </c>
      <c r="AZ25" s="97">
        <v>0</v>
      </c>
      <c r="BA25" s="97">
        <v>0</v>
      </c>
      <c r="BB25" s="97">
        <v>4473341937</v>
      </c>
      <c r="BC25" s="97">
        <v>0</v>
      </c>
      <c r="BD25" s="97">
        <v>0</v>
      </c>
      <c r="BE25" s="97">
        <v>0</v>
      </c>
      <c r="BF25" s="97">
        <v>0</v>
      </c>
      <c r="BG25" s="97">
        <v>263549169</v>
      </c>
      <c r="BH25" s="97">
        <v>0</v>
      </c>
      <c r="BI25" s="97">
        <v>263549169</v>
      </c>
      <c r="BJ25" s="97">
        <v>263549169</v>
      </c>
      <c r="BK25" s="97">
        <v>0</v>
      </c>
      <c r="BL25" s="97">
        <v>0</v>
      </c>
      <c r="BM25" s="97">
        <v>0</v>
      </c>
      <c r="BN25" s="97">
        <v>0</v>
      </c>
      <c r="BO25" s="97">
        <v>263549169</v>
      </c>
      <c r="BP25" s="97">
        <v>0</v>
      </c>
      <c r="BQ25" s="97">
        <v>0</v>
      </c>
      <c r="BR25" s="97">
        <v>0</v>
      </c>
      <c r="BS25" s="97">
        <v>0</v>
      </c>
      <c r="BT25" s="97">
        <v>863506825</v>
      </c>
      <c r="BU25" s="97">
        <v>0</v>
      </c>
      <c r="BV25" s="97">
        <v>863506825</v>
      </c>
      <c r="BW25" s="97">
        <v>863506825</v>
      </c>
      <c r="BX25" s="97">
        <v>0</v>
      </c>
      <c r="BY25" s="97">
        <v>0</v>
      </c>
      <c r="BZ25" s="97">
        <v>0</v>
      </c>
      <c r="CA25" s="97">
        <v>0</v>
      </c>
      <c r="CB25" s="97">
        <v>863506825</v>
      </c>
      <c r="CC25" s="97">
        <v>0</v>
      </c>
      <c r="CD25" s="97">
        <v>0</v>
      </c>
      <c r="CE25" s="97">
        <v>0</v>
      </c>
      <c r="CF25" s="97">
        <v>0</v>
      </c>
      <c r="CG25" s="97">
        <v>5001635</v>
      </c>
      <c r="CH25" s="97">
        <v>0</v>
      </c>
      <c r="CI25" s="97">
        <v>5001635</v>
      </c>
      <c r="CJ25" s="97">
        <v>5001635</v>
      </c>
      <c r="CK25" s="97">
        <v>0</v>
      </c>
      <c r="CL25" s="97">
        <v>0</v>
      </c>
      <c r="CM25" s="97">
        <v>0</v>
      </c>
      <c r="CN25" s="97">
        <v>0</v>
      </c>
      <c r="CO25" s="97">
        <v>5001635</v>
      </c>
      <c r="CP25" s="97">
        <v>0</v>
      </c>
      <c r="CQ25" s="97">
        <v>0</v>
      </c>
      <c r="CR25" s="97">
        <v>0</v>
      </c>
      <c r="CS25" s="97">
        <v>0</v>
      </c>
      <c r="CT25" s="97">
        <v>1379007</v>
      </c>
      <c r="CU25" s="97">
        <v>0</v>
      </c>
      <c r="CV25" s="97">
        <v>1379007</v>
      </c>
      <c r="CW25" s="97">
        <v>1379007</v>
      </c>
      <c r="CX25" s="97">
        <v>0</v>
      </c>
      <c r="CY25" s="97">
        <v>0</v>
      </c>
      <c r="CZ25" s="97">
        <v>0</v>
      </c>
      <c r="DA25" s="97">
        <v>0</v>
      </c>
      <c r="DB25" s="97">
        <v>1379007</v>
      </c>
    </row>
    <row r="26" spans="1:106" x14ac:dyDescent="0.2">
      <c r="A26" s="95" t="s">
        <v>241</v>
      </c>
      <c r="B26" s="96" t="s">
        <v>242</v>
      </c>
      <c r="C26" s="97">
        <v>0</v>
      </c>
      <c r="D26" s="97">
        <v>0</v>
      </c>
      <c r="E26" s="97">
        <v>0</v>
      </c>
      <c r="F26" s="97">
        <v>0</v>
      </c>
      <c r="G26" s="97">
        <v>1457023194</v>
      </c>
      <c r="H26" s="97">
        <v>0</v>
      </c>
      <c r="I26" s="97">
        <v>1457023194</v>
      </c>
      <c r="J26" s="97">
        <v>1457023194</v>
      </c>
      <c r="K26" s="97">
        <v>0</v>
      </c>
      <c r="L26" s="97">
        <v>0</v>
      </c>
      <c r="M26" s="97">
        <v>0</v>
      </c>
      <c r="N26" s="97">
        <v>0</v>
      </c>
      <c r="O26" s="97">
        <v>1457023194</v>
      </c>
      <c r="P26" s="97">
        <v>0</v>
      </c>
      <c r="Q26" s="97">
        <v>0</v>
      </c>
      <c r="R26" s="97">
        <v>0</v>
      </c>
      <c r="S26" s="97">
        <v>0</v>
      </c>
      <c r="T26" s="97">
        <v>3924702</v>
      </c>
      <c r="U26" s="97">
        <v>0</v>
      </c>
      <c r="V26" s="97">
        <v>3924702</v>
      </c>
      <c r="W26" s="97">
        <v>3924702</v>
      </c>
      <c r="X26" s="97"/>
      <c r="Y26" s="97">
        <v>0</v>
      </c>
      <c r="Z26" s="97">
        <v>0</v>
      </c>
      <c r="AA26" s="97">
        <v>0</v>
      </c>
      <c r="AB26" s="97">
        <v>3924702</v>
      </c>
      <c r="AC26" s="97">
        <v>0</v>
      </c>
      <c r="AD26" s="97">
        <v>0</v>
      </c>
      <c r="AE26" s="97">
        <v>0</v>
      </c>
      <c r="AF26" s="97">
        <v>0</v>
      </c>
      <c r="AG26" s="97">
        <v>245160010</v>
      </c>
      <c r="AH26" s="97">
        <v>0</v>
      </c>
      <c r="AI26" s="97">
        <v>245160010</v>
      </c>
      <c r="AJ26" s="97">
        <v>245160010</v>
      </c>
      <c r="AK26" s="97">
        <v>0</v>
      </c>
      <c r="AL26" s="97">
        <v>0</v>
      </c>
      <c r="AM26" s="97">
        <v>0</v>
      </c>
      <c r="AN26" s="97">
        <v>0</v>
      </c>
      <c r="AO26" s="97">
        <v>245160010</v>
      </c>
      <c r="AP26" s="97">
        <v>0</v>
      </c>
      <c r="AQ26" s="97">
        <v>0</v>
      </c>
      <c r="AR26" s="97">
        <v>0</v>
      </c>
      <c r="AS26" s="97">
        <v>0</v>
      </c>
      <c r="AT26" s="97">
        <v>1142492811</v>
      </c>
      <c r="AU26" s="97">
        <v>0</v>
      </c>
      <c r="AV26" s="97">
        <v>1142492811</v>
      </c>
      <c r="AW26" s="97">
        <v>1142492811</v>
      </c>
      <c r="AX26" s="97">
        <v>0</v>
      </c>
      <c r="AY26" s="97">
        <v>0</v>
      </c>
      <c r="AZ26" s="97">
        <v>0</v>
      </c>
      <c r="BA26" s="97">
        <v>0</v>
      </c>
      <c r="BB26" s="97">
        <v>1142492811</v>
      </c>
      <c r="BC26" s="97">
        <v>0</v>
      </c>
      <c r="BD26" s="97">
        <v>0</v>
      </c>
      <c r="BE26" s="97">
        <v>0</v>
      </c>
      <c r="BF26" s="97">
        <v>0</v>
      </c>
      <c r="BG26" s="97">
        <v>7576860</v>
      </c>
      <c r="BH26" s="97">
        <v>0</v>
      </c>
      <c r="BI26" s="97">
        <v>7576860</v>
      </c>
      <c r="BJ26" s="97">
        <v>7576860</v>
      </c>
      <c r="BK26" s="97">
        <v>0</v>
      </c>
      <c r="BL26" s="97">
        <v>0</v>
      </c>
      <c r="BM26" s="97">
        <v>0</v>
      </c>
      <c r="BN26" s="97">
        <v>0</v>
      </c>
      <c r="BO26" s="97">
        <v>7576860</v>
      </c>
      <c r="BP26" s="97">
        <v>0</v>
      </c>
      <c r="BQ26" s="97">
        <v>0</v>
      </c>
      <c r="BR26" s="97">
        <v>0</v>
      </c>
      <c r="BS26" s="97">
        <v>0</v>
      </c>
      <c r="BT26" s="97">
        <v>65196304</v>
      </c>
      <c r="BU26" s="97">
        <v>0</v>
      </c>
      <c r="BV26" s="97">
        <v>65196304</v>
      </c>
      <c r="BW26" s="97">
        <v>65196304</v>
      </c>
      <c r="BX26" s="97">
        <v>0</v>
      </c>
      <c r="BY26" s="97">
        <v>0</v>
      </c>
      <c r="BZ26" s="97">
        <v>0</v>
      </c>
      <c r="CA26" s="97">
        <v>0</v>
      </c>
      <c r="CB26" s="97">
        <v>65196304</v>
      </c>
      <c r="CC26" s="97">
        <v>0</v>
      </c>
      <c r="CD26" s="97">
        <v>0</v>
      </c>
      <c r="CE26" s="97">
        <v>0</v>
      </c>
      <c r="CF26" s="97">
        <v>0</v>
      </c>
      <c r="CG26" s="97">
        <v>249367</v>
      </c>
      <c r="CH26" s="97">
        <v>0</v>
      </c>
      <c r="CI26" s="97">
        <v>249367</v>
      </c>
      <c r="CJ26" s="97">
        <v>249367</v>
      </c>
      <c r="CK26" s="97">
        <v>0</v>
      </c>
      <c r="CL26" s="97">
        <v>0</v>
      </c>
      <c r="CM26" s="97">
        <v>0</v>
      </c>
      <c r="CN26" s="97">
        <v>0</v>
      </c>
      <c r="CO26" s="97">
        <v>249367</v>
      </c>
      <c r="CP26" s="97">
        <v>0</v>
      </c>
      <c r="CQ26" s="97">
        <v>0</v>
      </c>
      <c r="CR26" s="97">
        <v>0</v>
      </c>
      <c r="CS26" s="97">
        <v>0</v>
      </c>
      <c r="CT26" s="97">
        <v>0</v>
      </c>
      <c r="CU26" s="97">
        <v>0</v>
      </c>
      <c r="CV26" s="97">
        <v>0</v>
      </c>
      <c r="CW26" s="97">
        <v>0</v>
      </c>
      <c r="CX26" s="97">
        <v>0</v>
      </c>
      <c r="CY26" s="97">
        <v>0</v>
      </c>
      <c r="CZ26" s="97">
        <v>0</v>
      </c>
      <c r="DA26" s="97">
        <v>0</v>
      </c>
      <c r="DB26" s="97">
        <v>0</v>
      </c>
    </row>
    <row r="27" spans="1:106" x14ac:dyDescent="0.2">
      <c r="A27" s="95" t="s">
        <v>243</v>
      </c>
      <c r="B27" s="96" t="s">
        <v>244</v>
      </c>
      <c r="C27" s="97">
        <v>0</v>
      </c>
      <c r="D27" s="97">
        <v>0</v>
      </c>
      <c r="E27" s="97">
        <v>0</v>
      </c>
      <c r="F27" s="97">
        <v>0</v>
      </c>
      <c r="G27" s="97">
        <v>7009780466</v>
      </c>
      <c r="H27" s="97">
        <v>0</v>
      </c>
      <c r="I27" s="97">
        <v>7009780466</v>
      </c>
      <c r="J27" s="97">
        <v>7009780466</v>
      </c>
      <c r="K27" s="97">
        <v>0</v>
      </c>
      <c r="L27" s="97">
        <v>0</v>
      </c>
      <c r="M27" s="97">
        <v>0</v>
      </c>
      <c r="N27" s="97">
        <v>0</v>
      </c>
      <c r="O27" s="97">
        <v>7009780466</v>
      </c>
      <c r="P27" s="97">
        <v>0</v>
      </c>
      <c r="Q27" s="97">
        <v>0</v>
      </c>
      <c r="R27" s="97">
        <v>0</v>
      </c>
      <c r="S27" s="97">
        <v>0</v>
      </c>
      <c r="T27" s="97">
        <v>388613781</v>
      </c>
      <c r="U27" s="97">
        <v>0</v>
      </c>
      <c r="V27" s="97">
        <v>388613781</v>
      </c>
      <c r="W27" s="97">
        <v>388613781</v>
      </c>
      <c r="X27" s="97"/>
      <c r="Y27" s="97">
        <v>0</v>
      </c>
      <c r="Z27" s="97">
        <v>0</v>
      </c>
      <c r="AA27" s="97">
        <v>0</v>
      </c>
      <c r="AB27" s="97">
        <v>388613781</v>
      </c>
      <c r="AC27" s="97">
        <v>0</v>
      </c>
      <c r="AD27" s="97">
        <v>0</v>
      </c>
      <c r="AE27" s="97">
        <v>0</v>
      </c>
      <c r="AF27" s="97">
        <v>0</v>
      </c>
      <c r="AG27" s="97">
        <v>3085427895</v>
      </c>
      <c r="AH27" s="97">
        <v>0</v>
      </c>
      <c r="AI27" s="97">
        <v>3085427895</v>
      </c>
      <c r="AJ27" s="97">
        <v>3085427895</v>
      </c>
      <c r="AK27" s="97">
        <v>0</v>
      </c>
      <c r="AL27" s="97">
        <v>0</v>
      </c>
      <c r="AM27" s="97">
        <v>0</v>
      </c>
      <c r="AN27" s="97">
        <v>0</v>
      </c>
      <c r="AO27" s="97">
        <v>3085427895</v>
      </c>
      <c r="AP27" s="97">
        <v>0</v>
      </c>
      <c r="AQ27" s="97">
        <v>0</v>
      </c>
      <c r="AR27" s="97">
        <v>0</v>
      </c>
      <c r="AS27" s="97">
        <v>0</v>
      </c>
      <c r="AT27" s="97">
        <v>3152573717</v>
      </c>
      <c r="AU27" s="97">
        <v>0</v>
      </c>
      <c r="AV27" s="97">
        <v>3152573717</v>
      </c>
      <c r="AW27" s="97">
        <v>3152573717</v>
      </c>
      <c r="AX27" s="97">
        <v>0</v>
      </c>
      <c r="AY27" s="97">
        <v>0</v>
      </c>
      <c r="AZ27" s="97">
        <v>0</v>
      </c>
      <c r="BA27" s="97">
        <v>0</v>
      </c>
      <c r="BB27" s="97">
        <v>3152573717</v>
      </c>
      <c r="BC27" s="97">
        <v>0</v>
      </c>
      <c r="BD27" s="97">
        <v>0</v>
      </c>
      <c r="BE27" s="97">
        <v>0</v>
      </c>
      <c r="BF27" s="97">
        <v>0</v>
      </c>
      <c r="BG27" s="97">
        <v>162203227</v>
      </c>
      <c r="BH27" s="97">
        <v>0</v>
      </c>
      <c r="BI27" s="97">
        <v>162203227</v>
      </c>
      <c r="BJ27" s="97">
        <v>162203227</v>
      </c>
      <c r="BK27" s="97">
        <v>0</v>
      </c>
      <c r="BL27" s="97">
        <v>0</v>
      </c>
      <c r="BM27" s="97">
        <v>0</v>
      </c>
      <c r="BN27" s="97">
        <v>0</v>
      </c>
      <c r="BO27" s="97">
        <v>162203227</v>
      </c>
      <c r="BP27" s="97">
        <v>0</v>
      </c>
      <c r="BQ27" s="97">
        <v>0</v>
      </c>
      <c r="BR27" s="97">
        <v>0</v>
      </c>
      <c r="BS27" s="97">
        <v>0</v>
      </c>
      <c r="BT27" s="97">
        <v>370732133</v>
      </c>
      <c r="BU27" s="97">
        <v>0</v>
      </c>
      <c r="BV27" s="97">
        <v>370732133</v>
      </c>
      <c r="BW27" s="97">
        <v>370732133</v>
      </c>
      <c r="BX27" s="97">
        <v>0</v>
      </c>
      <c r="BY27" s="97">
        <v>0</v>
      </c>
      <c r="BZ27" s="97">
        <v>0</v>
      </c>
      <c r="CA27" s="97">
        <v>0</v>
      </c>
      <c r="CB27" s="97">
        <v>370732133</v>
      </c>
      <c r="CC27" s="97">
        <v>0</v>
      </c>
      <c r="CD27" s="97">
        <v>0</v>
      </c>
      <c r="CE27" s="97">
        <v>0</v>
      </c>
      <c r="CF27" s="97">
        <v>0</v>
      </c>
      <c r="CG27" s="97">
        <v>12233325</v>
      </c>
      <c r="CH27" s="97">
        <v>0</v>
      </c>
      <c r="CI27" s="97">
        <v>12233325</v>
      </c>
      <c r="CJ27" s="97">
        <v>12233325</v>
      </c>
      <c r="CK27" s="97">
        <v>0</v>
      </c>
      <c r="CL27" s="97">
        <v>0</v>
      </c>
      <c r="CM27" s="97">
        <v>0</v>
      </c>
      <c r="CN27" s="97">
        <v>0</v>
      </c>
      <c r="CO27" s="97">
        <v>12233325</v>
      </c>
      <c r="CP27" s="97">
        <v>0</v>
      </c>
      <c r="CQ27" s="97">
        <v>0</v>
      </c>
      <c r="CR27" s="97">
        <v>0</v>
      </c>
      <c r="CS27" s="97">
        <v>0</v>
      </c>
      <c r="CT27" s="97">
        <v>199615</v>
      </c>
      <c r="CU27" s="97">
        <v>0</v>
      </c>
      <c r="CV27" s="97">
        <v>199615</v>
      </c>
      <c r="CW27" s="97">
        <v>199615</v>
      </c>
      <c r="CX27" s="97">
        <v>0</v>
      </c>
      <c r="CY27" s="97">
        <v>0</v>
      </c>
      <c r="CZ27" s="97">
        <v>0</v>
      </c>
      <c r="DA27" s="97">
        <v>0</v>
      </c>
      <c r="DB27" s="97">
        <v>199615</v>
      </c>
    </row>
    <row r="28" spans="1:106" ht="25.5" x14ac:dyDescent="0.2">
      <c r="A28" s="95" t="s">
        <v>245</v>
      </c>
      <c r="B28" s="96" t="s">
        <v>246</v>
      </c>
      <c r="C28" s="97">
        <v>0</v>
      </c>
      <c r="D28" s="97">
        <v>0</v>
      </c>
      <c r="E28" s="97">
        <v>0</v>
      </c>
      <c r="F28" s="97">
        <v>0</v>
      </c>
      <c r="G28" s="97">
        <v>5586390</v>
      </c>
      <c r="H28" s="97">
        <v>0</v>
      </c>
      <c r="I28" s="97">
        <v>5586390</v>
      </c>
      <c r="J28" s="97">
        <v>5586390</v>
      </c>
      <c r="K28" s="97">
        <v>0</v>
      </c>
      <c r="L28" s="97">
        <v>0</v>
      </c>
      <c r="M28" s="97">
        <v>0</v>
      </c>
      <c r="N28" s="97">
        <v>0</v>
      </c>
      <c r="O28" s="97">
        <v>5586390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/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97">
        <v>0</v>
      </c>
      <c r="AG28" s="97">
        <v>3996278</v>
      </c>
      <c r="AH28" s="97">
        <v>0</v>
      </c>
      <c r="AI28" s="97">
        <v>3996278</v>
      </c>
      <c r="AJ28" s="97">
        <v>3996278</v>
      </c>
      <c r="AK28" s="97">
        <v>0</v>
      </c>
      <c r="AL28" s="97">
        <v>0</v>
      </c>
      <c r="AM28" s="97">
        <v>0</v>
      </c>
      <c r="AN28" s="97">
        <v>0</v>
      </c>
      <c r="AO28" s="97">
        <v>3996278</v>
      </c>
      <c r="AP28" s="97">
        <v>0</v>
      </c>
      <c r="AQ28" s="97">
        <v>0</v>
      </c>
      <c r="AR28" s="97">
        <v>0</v>
      </c>
      <c r="AS28" s="97">
        <v>0</v>
      </c>
      <c r="AT28" s="97">
        <v>431700</v>
      </c>
      <c r="AU28" s="97">
        <v>0</v>
      </c>
      <c r="AV28" s="97">
        <v>431700</v>
      </c>
      <c r="AW28" s="97">
        <v>431700</v>
      </c>
      <c r="AX28" s="97">
        <v>0</v>
      </c>
      <c r="AY28" s="97">
        <v>0</v>
      </c>
      <c r="AZ28" s="97">
        <v>0</v>
      </c>
      <c r="BA28" s="97">
        <v>0</v>
      </c>
      <c r="BB28" s="97">
        <v>431700</v>
      </c>
      <c r="BC28" s="97">
        <v>0</v>
      </c>
      <c r="BD28" s="97">
        <v>0</v>
      </c>
      <c r="BE28" s="97">
        <v>0</v>
      </c>
      <c r="BF28" s="97">
        <v>0</v>
      </c>
      <c r="BG28" s="97">
        <v>193480</v>
      </c>
      <c r="BH28" s="97">
        <v>0</v>
      </c>
      <c r="BI28" s="97">
        <v>193480</v>
      </c>
      <c r="BJ28" s="97">
        <v>193480</v>
      </c>
      <c r="BK28" s="97">
        <v>0</v>
      </c>
      <c r="BL28" s="97">
        <v>0</v>
      </c>
      <c r="BM28" s="97">
        <v>0</v>
      </c>
      <c r="BN28" s="97">
        <v>0</v>
      </c>
      <c r="BO28" s="97">
        <v>193480</v>
      </c>
      <c r="BP28" s="97">
        <v>0</v>
      </c>
      <c r="BQ28" s="97">
        <v>0</v>
      </c>
      <c r="BR28" s="97">
        <v>0</v>
      </c>
      <c r="BS28" s="97">
        <v>0</v>
      </c>
      <c r="BT28" s="97">
        <v>1158412</v>
      </c>
      <c r="BU28" s="97">
        <v>0</v>
      </c>
      <c r="BV28" s="97">
        <v>1158412</v>
      </c>
      <c r="BW28" s="97">
        <v>1158412</v>
      </c>
      <c r="BX28" s="97">
        <v>0</v>
      </c>
      <c r="BY28" s="97">
        <v>0</v>
      </c>
      <c r="BZ28" s="97">
        <v>0</v>
      </c>
      <c r="CA28" s="97">
        <v>0</v>
      </c>
      <c r="CB28" s="97">
        <v>1158412</v>
      </c>
      <c r="CC28" s="97">
        <v>0</v>
      </c>
      <c r="CD28" s="97">
        <v>0</v>
      </c>
      <c r="CE28" s="97">
        <v>0</v>
      </c>
      <c r="CF28" s="97">
        <v>0</v>
      </c>
      <c r="CG28" s="97">
        <v>0</v>
      </c>
      <c r="CH28" s="97">
        <v>0</v>
      </c>
      <c r="CI28" s="97">
        <v>0</v>
      </c>
      <c r="CJ28" s="97">
        <v>0</v>
      </c>
      <c r="CK28" s="97">
        <v>0</v>
      </c>
      <c r="CL28" s="97">
        <v>0</v>
      </c>
      <c r="CM28" s="97">
        <v>0</v>
      </c>
      <c r="CN28" s="97">
        <v>0</v>
      </c>
      <c r="CO28" s="97">
        <v>0</v>
      </c>
      <c r="CP28" s="97">
        <v>0</v>
      </c>
      <c r="CQ28" s="97">
        <v>0</v>
      </c>
      <c r="CR28" s="97">
        <v>0</v>
      </c>
      <c r="CS28" s="97">
        <v>0</v>
      </c>
      <c r="CT28" s="97">
        <v>0</v>
      </c>
      <c r="CU28" s="97">
        <v>0</v>
      </c>
      <c r="CV28" s="97">
        <v>0</v>
      </c>
      <c r="CW28" s="97">
        <v>0</v>
      </c>
      <c r="CX28" s="97">
        <v>0</v>
      </c>
      <c r="CY28" s="97">
        <v>0</v>
      </c>
      <c r="CZ28" s="97">
        <v>0</v>
      </c>
      <c r="DA28" s="97">
        <v>0</v>
      </c>
      <c r="DB28" s="97">
        <v>0</v>
      </c>
    </row>
    <row r="29" spans="1:106" ht="38.25" x14ac:dyDescent="0.2">
      <c r="A29" s="95" t="s">
        <v>247</v>
      </c>
      <c r="B29" s="96" t="s">
        <v>248</v>
      </c>
      <c r="C29" s="97">
        <v>0</v>
      </c>
      <c r="D29" s="97">
        <v>0</v>
      </c>
      <c r="E29" s="97">
        <v>0</v>
      </c>
      <c r="F29" s="97">
        <v>0</v>
      </c>
      <c r="G29" s="97">
        <v>622360122026</v>
      </c>
      <c r="H29" s="97">
        <v>0</v>
      </c>
      <c r="I29" s="97">
        <v>622360122026</v>
      </c>
      <c r="J29" s="97">
        <v>622360122026</v>
      </c>
      <c r="K29" s="97">
        <v>0</v>
      </c>
      <c r="L29" s="97">
        <v>0</v>
      </c>
      <c r="M29" s="97">
        <v>0</v>
      </c>
      <c r="N29" s="97">
        <v>0</v>
      </c>
      <c r="O29" s="97">
        <v>622360122026</v>
      </c>
      <c r="P29" s="97">
        <v>0</v>
      </c>
      <c r="Q29" s="97">
        <v>0</v>
      </c>
      <c r="R29" s="97">
        <v>0</v>
      </c>
      <c r="S29" s="97">
        <v>0</v>
      </c>
      <c r="T29" s="97">
        <v>14416637859</v>
      </c>
      <c r="U29" s="97">
        <v>0</v>
      </c>
      <c r="V29" s="97">
        <v>14416637859</v>
      </c>
      <c r="W29" s="97">
        <v>14416637859</v>
      </c>
      <c r="X29" s="97"/>
      <c r="Y29" s="97">
        <v>0</v>
      </c>
      <c r="Z29" s="97">
        <v>0</v>
      </c>
      <c r="AA29" s="97">
        <v>0</v>
      </c>
      <c r="AB29" s="97">
        <v>14416637859</v>
      </c>
      <c r="AC29" s="97">
        <v>0</v>
      </c>
      <c r="AD29" s="97">
        <v>0</v>
      </c>
      <c r="AE29" s="97">
        <v>0</v>
      </c>
      <c r="AF29" s="97">
        <v>0</v>
      </c>
      <c r="AG29" s="97">
        <v>113592318486</v>
      </c>
      <c r="AH29" s="97">
        <v>0</v>
      </c>
      <c r="AI29" s="97">
        <v>113592318486</v>
      </c>
      <c r="AJ29" s="97">
        <v>113592318486</v>
      </c>
      <c r="AK29" s="97">
        <v>0</v>
      </c>
      <c r="AL29" s="97">
        <v>0</v>
      </c>
      <c r="AM29" s="97">
        <v>0</v>
      </c>
      <c r="AN29" s="97">
        <v>0</v>
      </c>
      <c r="AO29" s="97">
        <v>113592318486</v>
      </c>
      <c r="AP29" s="97">
        <v>0</v>
      </c>
      <c r="AQ29" s="97">
        <v>0</v>
      </c>
      <c r="AR29" s="97">
        <v>0</v>
      </c>
      <c r="AS29" s="97">
        <v>0</v>
      </c>
      <c r="AT29" s="97">
        <v>332674258486</v>
      </c>
      <c r="AU29" s="97">
        <v>0</v>
      </c>
      <c r="AV29" s="97">
        <v>332674258486</v>
      </c>
      <c r="AW29" s="97">
        <v>332674258486</v>
      </c>
      <c r="AX29" s="97">
        <v>0</v>
      </c>
      <c r="AY29" s="97">
        <v>0</v>
      </c>
      <c r="AZ29" s="97">
        <v>0</v>
      </c>
      <c r="BA29" s="97">
        <v>0</v>
      </c>
      <c r="BB29" s="97">
        <v>332674258486</v>
      </c>
      <c r="BC29" s="97">
        <v>0</v>
      </c>
      <c r="BD29" s="97">
        <v>0</v>
      </c>
      <c r="BE29" s="97">
        <v>0</v>
      </c>
      <c r="BF29" s="97">
        <v>0</v>
      </c>
      <c r="BG29" s="97">
        <v>6381757989</v>
      </c>
      <c r="BH29" s="97">
        <v>0</v>
      </c>
      <c r="BI29" s="97">
        <v>6381757989</v>
      </c>
      <c r="BJ29" s="97">
        <v>6381757989</v>
      </c>
      <c r="BK29" s="97">
        <v>0</v>
      </c>
      <c r="BL29" s="97">
        <v>0</v>
      </c>
      <c r="BM29" s="97">
        <v>0</v>
      </c>
      <c r="BN29" s="97">
        <v>0</v>
      </c>
      <c r="BO29" s="97">
        <v>6381757989</v>
      </c>
      <c r="BP29" s="97">
        <v>0</v>
      </c>
      <c r="BQ29" s="97">
        <v>0</v>
      </c>
      <c r="BR29" s="97">
        <v>0</v>
      </c>
      <c r="BS29" s="97">
        <v>0</v>
      </c>
      <c r="BT29" s="97">
        <v>161175388459</v>
      </c>
      <c r="BU29" s="97">
        <v>0</v>
      </c>
      <c r="BV29" s="97">
        <v>161175388459</v>
      </c>
      <c r="BW29" s="97">
        <v>161175388459</v>
      </c>
      <c r="BX29" s="97">
        <v>0</v>
      </c>
      <c r="BY29" s="97">
        <v>0</v>
      </c>
      <c r="BZ29" s="97">
        <v>0</v>
      </c>
      <c r="CA29" s="97">
        <v>0</v>
      </c>
      <c r="CB29" s="97">
        <v>161175388459</v>
      </c>
      <c r="CC29" s="97">
        <v>0</v>
      </c>
      <c r="CD29" s="97">
        <v>0</v>
      </c>
      <c r="CE29" s="97">
        <v>0</v>
      </c>
      <c r="CF29" s="97">
        <v>0</v>
      </c>
      <c r="CG29" s="97">
        <v>435999859</v>
      </c>
      <c r="CH29" s="97">
        <v>0</v>
      </c>
      <c r="CI29" s="97">
        <v>435999859</v>
      </c>
      <c r="CJ29" s="97">
        <v>435999859</v>
      </c>
      <c r="CK29" s="97">
        <v>0</v>
      </c>
      <c r="CL29" s="97">
        <v>0</v>
      </c>
      <c r="CM29" s="97">
        <v>0</v>
      </c>
      <c r="CN29" s="97">
        <v>0</v>
      </c>
      <c r="CO29" s="97">
        <v>435999859</v>
      </c>
      <c r="CP29" s="97">
        <v>0</v>
      </c>
      <c r="CQ29" s="97">
        <v>0</v>
      </c>
      <c r="CR29" s="97">
        <v>0</v>
      </c>
      <c r="CS29" s="97">
        <v>0</v>
      </c>
      <c r="CT29" s="97">
        <v>65518877</v>
      </c>
      <c r="CU29" s="97">
        <v>0</v>
      </c>
      <c r="CV29" s="97">
        <v>65518877</v>
      </c>
      <c r="CW29" s="97">
        <v>65518877</v>
      </c>
      <c r="CX29" s="97">
        <v>0</v>
      </c>
      <c r="CY29" s="97">
        <v>0</v>
      </c>
      <c r="CZ29" s="97">
        <v>0</v>
      </c>
      <c r="DA29" s="97">
        <v>0</v>
      </c>
      <c r="DB29" s="97">
        <v>65518877</v>
      </c>
    </row>
    <row r="30" spans="1:106" x14ac:dyDescent="0.2">
      <c r="A30" s="95" t="s">
        <v>249</v>
      </c>
      <c r="B30" s="96" t="s">
        <v>250</v>
      </c>
      <c r="C30" s="97">
        <v>0</v>
      </c>
      <c r="D30" s="97">
        <v>0</v>
      </c>
      <c r="E30" s="97">
        <v>0</v>
      </c>
      <c r="F30" s="97">
        <v>0</v>
      </c>
      <c r="G30" s="97">
        <v>414642164409</v>
      </c>
      <c r="H30" s="97">
        <v>0</v>
      </c>
      <c r="I30" s="97">
        <v>414642164409</v>
      </c>
      <c r="J30" s="97">
        <v>414642164409</v>
      </c>
      <c r="K30" s="97">
        <v>0</v>
      </c>
      <c r="L30" s="97">
        <v>0</v>
      </c>
      <c r="M30" s="97">
        <v>0</v>
      </c>
      <c r="N30" s="97">
        <v>0</v>
      </c>
      <c r="O30" s="97">
        <v>414642164409</v>
      </c>
      <c r="P30" s="97">
        <v>0</v>
      </c>
      <c r="Q30" s="97">
        <v>0</v>
      </c>
      <c r="R30" s="97">
        <v>0</v>
      </c>
      <c r="S30" s="97">
        <v>0</v>
      </c>
      <c r="T30" s="97">
        <v>3959003337</v>
      </c>
      <c r="U30" s="97">
        <v>0</v>
      </c>
      <c r="V30" s="97">
        <v>3959003337</v>
      </c>
      <c r="W30" s="97">
        <v>3959003337</v>
      </c>
      <c r="X30" s="97"/>
      <c r="Y30" s="97">
        <v>0</v>
      </c>
      <c r="Z30" s="97">
        <v>0</v>
      </c>
      <c r="AA30" s="97">
        <v>0</v>
      </c>
      <c r="AB30" s="97">
        <v>3959003337</v>
      </c>
      <c r="AC30" s="97">
        <v>0</v>
      </c>
      <c r="AD30" s="97">
        <v>0</v>
      </c>
      <c r="AE30" s="97">
        <v>0</v>
      </c>
      <c r="AF30" s="97">
        <v>0</v>
      </c>
      <c r="AG30" s="97">
        <v>54563915853</v>
      </c>
      <c r="AH30" s="97">
        <v>0</v>
      </c>
      <c r="AI30" s="97">
        <v>54563915853</v>
      </c>
      <c r="AJ30" s="97">
        <v>54563915853</v>
      </c>
      <c r="AK30" s="97">
        <v>0</v>
      </c>
      <c r="AL30" s="97">
        <v>0</v>
      </c>
      <c r="AM30" s="97">
        <v>0</v>
      </c>
      <c r="AN30" s="97">
        <v>0</v>
      </c>
      <c r="AO30" s="97">
        <v>54563915853</v>
      </c>
      <c r="AP30" s="97">
        <v>0</v>
      </c>
      <c r="AQ30" s="97">
        <v>0</v>
      </c>
      <c r="AR30" s="97">
        <v>0</v>
      </c>
      <c r="AS30" s="97">
        <v>0</v>
      </c>
      <c r="AT30" s="97">
        <v>210878497201</v>
      </c>
      <c r="AU30" s="97">
        <v>0</v>
      </c>
      <c r="AV30" s="97">
        <v>210878497201</v>
      </c>
      <c r="AW30" s="97">
        <v>210878497201</v>
      </c>
      <c r="AX30" s="97">
        <v>0</v>
      </c>
      <c r="AY30" s="97">
        <v>0</v>
      </c>
      <c r="AZ30" s="97">
        <v>0</v>
      </c>
      <c r="BA30" s="97">
        <v>0</v>
      </c>
      <c r="BB30" s="97">
        <v>210878497201</v>
      </c>
      <c r="BC30" s="97">
        <v>0</v>
      </c>
      <c r="BD30" s="97">
        <v>0</v>
      </c>
      <c r="BE30" s="97">
        <v>0</v>
      </c>
      <c r="BF30" s="97">
        <v>0</v>
      </c>
      <c r="BG30" s="97">
        <v>3257661388</v>
      </c>
      <c r="BH30" s="97">
        <v>0</v>
      </c>
      <c r="BI30" s="97">
        <v>3257661388</v>
      </c>
      <c r="BJ30" s="97">
        <v>3257661388</v>
      </c>
      <c r="BK30" s="97">
        <v>0</v>
      </c>
      <c r="BL30" s="97">
        <v>0</v>
      </c>
      <c r="BM30" s="97">
        <v>0</v>
      </c>
      <c r="BN30" s="97">
        <v>0</v>
      </c>
      <c r="BO30" s="97">
        <v>3257661388</v>
      </c>
      <c r="BP30" s="97">
        <v>0</v>
      </c>
      <c r="BQ30" s="97">
        <v>0</v>
      </c>
      <c r="BR30" s="97">
        <v>0</v>
      </c>
      <c r="BS30" s="97">
        <v>0</v>
      </c>
      <c r="BT30" s="97">
        <v>145007002285</v>
      </c>
      <c r="BU30" s="97">
        <v>0</v>
      </c>
      <c r="BV30" s="97">
        <v>145007002285</v>
      </c>
      <c r="BW30" s="97">
        <v>145007002285</v>
      </c>
      <c r="BX30" s="97">
        <v>0</v>
      </c>
      <c r="BY30" s="97">
        <v>0</v>
      </c>
      <c r="BZ30" s="97">
        <v>0</v>
      </c>
      <c r="CA30" s="97">
        <v>0</v>
      </c>
      <c r="CB30" s="97">
        <v>145007002285</v>
      </c>
      <c r="CC30" s="97">
        <v>0</v>
      </c>
      <c r="CD30" s="97">
        <v>0</v>
      </c>
      <c r="CE30" s="97">
        <v>0</v>
      </c>
      <c r="CF30" s="97">
        <v>0</v>
      </c>
      <c r="CG30" s="97">
        <v>233375588</v>
      </c>
      <c r="CH30" s="97">
        <v>0</v>
      </c>
      <c r="CI30" s="97">
        <v>233375588</v>
      </c>
      <c r="CJ30" s="97">
        <v>233375588</v>
      </c>
      <c r="CK30" s="97">
        <v>0</v>
      </c>
      <c r="CL30" s="97">
        <v>0</v>
      </c>
      <c r="CM30" s="97">
        <v>0</v>
      </c>
      <c r="CN30" s="97">
        <v>0</v>
      </c>
      <c r="CO30" s="97">
        <v>233375588</v>
      </c>
      <c r="CP30" s="97">
        <v>0</v>
      </c>
      <c r="CQ30" s="97">
        <v>0</v>
      </c>
      <c r="CR30" s="97">
        <v>0</v>
      </c>
      <c r="CS30" s="97">
        <v>0</v>
      </c>
      <c r="CT30" s="97">
        <v>370145</v>
      </c>
      <c r="CU30" s="97">
        <v>0</v>
      </c>
      <c r="CV30" s="97">
        <v>370145</v>
      </c>
      <c r="CW30" s="97">
        <v>370145</v>
      </c>
      <c r="CX30" s="97">
        <v>0</v>
      </c>
      <c r="CY30" s="97">
        <v>0</v>
      </c>
      <c r="CZ30" s="97">
        <v>0</v>
      </c>
      <c r="DA30" s="97">
        <v>0</v>
      </c>
      <c r="DB30" s="97">
        <v>370145</v>
      </c>
    </row>
    <row r="31" spans="1:106" x14ac:dyDescent="0.2">
      <c r="A31" s="95" t="s">
        <v>241</v>
      </c>
      <c r="B31" s="96" t="s">
        <v>251</v>
      </c>
      <c r="C31" s="97">
        <v>0</v>
      </c>
      <c r="D31" s="97">
        <v>0</v>
      </c>
      <c r="E31" s="97">
        <v>0</v>
      </c>
      <c r="F31" s="97">
        <v>0</v>
      </c>
      <c r="G31" s="97">
        <v>21069449010</v>
      </c>
      <c r="H31" s="97">
        <v>0</v>
      </c>
      <c r="I31" s="97">
        <v>21069449010</v>
      </c>
      <c r="J31" s="97">
        <v>21069449010</v>
      </c>
      <c r="K31" s="97">
        <v>0</v>
      </c>
      <c r="L31" s="97">
        <v>0</v>
      </c>
      <c r="M31" s="97">
        <v>0</v>
      </c>
      <c r="N31" s="97">
        <v>0</v>
      </c>
      <c r="O31" s="97">
        <v>21069449010</v>
      </c>
      <c r="P31" s="97">
        <v>0</v>
      </c>
      <c r="Q31" s="97">
        <v>0</v>
      </c>
      <c r="R31" s="97">
        <v>0</v>
      </c>
      <c r="S31" s="97">
        <v>0</v>
      </c>
      <c r="T31" s="97">
        <v>140383970</v>
      </c>
      <c r="U31" s="97">
        <v>0</v>
      </c>
      <c r="V31" s="97">
        <v>140383970</v>
      </c>
      <c r="W31" s="97">
        <v>140383970</v>
      </c>
      <c r="X31" s="97"/>
      <c r="Y31" s="97">
        <v>0</v>
      </c>
      <c r="Z31" s="97">
        <v>0</v>
      </c>
      <c r="AA31" s="97">
        <v>0</v>
      </c>
      <c r="AB31" s="97">
        <v>140383970</v>
      </c>
      <c r="AC31" s="97">
        <v>0</v>
      </c>
      <c r="AD31" s="97">
        <v>0</v>
      </c>
      <c r="AE31" s="97">
        <v>0</v>
      </c>
      <c r="AF31" s="97">
        <v>0</v>
      </c>
      <c r="AG31" s="97">
        <v>3419166476</v>
      </c>
      <c r="AH31" s="97">
        <v>0</v>
      </c>
      <c r="AI31" s="97">
        <v>3419166476</v>
      </c>
      <c r="AJ31" s="97">
        <v>3419166476</v>
      </c>
      <c r="AK31" s="97">
        <v>0</v>
      </c>
      <c r="AL31" s="97">
        <v>0</v>
      </c>
      <c r="AM31" s="97">
        <v>0</v>
      </c>
      <c r="AN31" s="97">
        <v>0</v>
      </c>
      <c r="AO31" s="97">
        <v>3419166476</v>
      </c>
      <c r="AP31" s="97">
        <v>0</v>
      </c>
      <c r="AQ31" s="97">
        <v>0</v>
      </c>
      <c r="AR31" s="97">
        <v>0</v>
      </c>
      <c r="AS31" s="97">
        <v>0</v>
      </c>
      <c r="AT31" s="97">
        <v>15312489284</v>
      </c>
      <c r="AU31" s="97">
        <v>0</v>
      </c>
      <c r="AV31" s="97">
        <v>15312489284</v>
      </c>
      <c r="AW31" s="97">
        <v>15312489284</v>
      </c>
      <c r="AX31" s="97">
        <v>0</v>
      </c>
      <c r="AY31" s="97">
        <v>0</v>
      </c>
      <c r="AZ31" s="97">
        <v>0</v>
      </c>
      <c r="BA31" s="97">
        <v>0</v>
      </c>
      <c r="BB31" s="97">
        <v>15312489284</v>
      </c>
      <c r="BC31" s="97">
        <v>0</v>
      </c>
      <c r="BD31" s="97">
        <v>0</v>
      </c>
      <c r="BE31" s="97">
        <v>0</v>
      </c>
      <c r="BF31" s="97">
        <v>0</v>
      </c>
      <c r="BG31" s="97">
        <v>170069110</v>
      </c>
      <c r="BH31" s="97">
        <v>0</v>
      </c>
      <c r="BI31" s="97">
        <v>170069110</v>
      </c>
      <c r="BJ31" s="97">
        <v>170069110</v>
      </c>
      <c r="BK31" s="97">
        <v>0</v>
      </c>
      <c r="BL31" s="97">
        <v>0</v>
      </c>
      <c r="BM31" s="97">
        <v>0</v>
      </c>
      <c r="BN31" s="97">
        <v>0</v>
      </c>
      <c r="BO31" s="97">
        <v>170069110</v>
      </c>
      <c r="BP31" s="97">
        <v>0</v>
      </c>
      <c r="BQ31" s="97">
        <v>0</v>
      </c>
      <c r="BR31" s="97">
        <v>0</v>
      </c>
      <c r="BS31" s="97">
        <v>0</v>
      </c>
      <c r="BT31" s="97">
        <v>2192877620</v>
      </c>
      <c r="BU31" s="97">
        <v>0</v>
      </c>
      <c r="BV31" s="97">
        <v>2192877620</v>
      </c>
      <c r="BW31" s="97">
        <v>2192877620</v>
      </c>
      <c r="BX31" s="97">
        <v>0</v>
      </c>
      <c r="BY31" s="97">
        <v>0</v>
      </c>
      <c r="BZ31" s="97">
        <v>0</v>
      </c>
      <c r="CA31" s="97">
        <v>0</v>
      </c>
      <c r="CB31" s="97">
        <v>2192877620</v>
      </c>
      <c r="CC31" s="97">
        <v>0</v>
      </c>
      <c r="CD31" s="97">
        <v>0</v>
      </c>
      <c r="CE31" s="97">
        <v>0</v>
      </c>
      <c r="CF31" s="97">
        <v>0</v>
      </c>
      <c r="CG31" s="97">
        <v>4531660</v>
      </c>
      <c r="CH31" s="97">
        <v>0</v>
      </c>
      <c r="CI31" s="97">
        <v>4531660</v>
      </c>
      <c r="CJ31" s="97">
        <v>4531660</v>
      </c>
      <c r="CK31" s="97">
        <v>0</v>
      </c>
      <c r="CL31" s="97">
        <v>0</v>
      </c>
      <c r="CM31" s="97">
        <v>0</v>
      </c>
      <c r="CN31" s="97">
        <v>0</v>
      </c>
      <c r="CO31" s="97">
        <v>4531660</v>
      </c>
      <c r="CP31" s="97">
        <v>0</v>
      </c>
      <c r="CQ31" s="97">
        <v>0</v>
      </c>
      <c r="CR31" s="97">
        <v>0</v>
      </c>
      <c r="CS31" s="97">
        <v>0</v>
      </c>
      <c r="CT31" s="97">
        <v>0</v>
      </c>
      <c r="CU31" s="97">
        <v>0</v>
      </c>
      <c r="CV31" s="97">
        <v>0</v>
      </c>
      <c r="CW31" s="97">
        <v>0</v>
      </c>
      <c r="CX31" s="97">
        <v>0</v>
      </c>
      <c r="CY31" s="97">
        <v>0</v>
      </c>
      <c r="CZ31" s="97">
        <v>0</v>
      </c>
      <c r="DA31" s="97">
        <v>0</v>
      </c>
      <c r="DB31" s="97">
        <v>0</v>
      </c>
    </row>
    <row r="32" spans="1:106" x14ac:dyDescent="0.2">
      <c r="A32" s="95" t="s">
        <v>252</v>
      </c>
      <c r="B32" s="96" t="s">
        <v>253</v>
      </c>
      <c r="C32" s="97">
        <v>0</v>
      </c>
      <c r="D32" s="97">
        <v>0</v>
      </c>
      <c r="E32" s="97">
        <v>0</v>
      </c>
      <c r="F32" s="97">
        <v>0</v>
      </c>
      <c r="G32" s="97">
        <v>23616071717</v>
      </c>
      <c r="H32" s="97">
        <v>0</v>
      </c>
      <c r="I32" s="97">
        <v>23616071717</v>
      </c>
      <c r="J32" s="97">
        <v>23616071717</v>
      </c>
      <c r="K32" s="97">
        <v>0</v>
      </c>
      <c r="L32" s="97">
        <v>0</v>
      </c>
      <c r="M32" s="97">
        <v>0</v>
      </c>
      <c r="N32" s="97">
        <v>0</v>
      </c>
      <c r="O32" s="97">
        <v>23616071717</v>
      </c>
      <c r="P32" s="97"/>
      <c r="Q32" s="97"/>
      <c r="R32" s="97"/>
      <c r="S32" s="97"/>
      <c r="T32" s="97" t="s">
        <v>125</v>
      </c>
      <c r="U32" s="97"/>
      <c r="V32" s="97"/>
      <c r="W32" s="97"/>
      <c r="X32" s="97"/>
      <c r="Y32" s="97"/>
      <c r="Z32" s="97"/>
      <c r="AA32" s="97"/>
      <c r="AB32" s="97"/>
      <c r="AC32" s="97">
        <v>0</v>
      </c>
      <c r="AD32" s="97">
        <v>0</v>
      </c>
      <c r="AE32" s="97">
        <v>0</v>
      </c>
      <c r="AF32" s="97">
        <v>0</v>
      </c>
      <c r="AG32" s="97">
        <v>46966348</v>
      </c>
      <c r="AH32" s="97">
        <v>0</v>
      </c>
      <c r="AI32" s="97">
        <v>46966348</v>
      </c>
      <c r="AJ32" s="97">
        <v>46966348</v>
      </c>
      <c r="AK32" s="97">
        <v>0</v>
      </c>
      <c r="AL32" s="97">
        <v>0</v>
      </c>
      <c r="AM32" s="97">
        <v>0</v>
      </c>
      <c r="AN32" s="97">
        <v>0</v>
      </c>
      <c r="AO32" s="97">
        <v>46966348</v>
      </c>
      <c r="AP32" s="97">
        <v>0</v>
      </c>
      <c r="AQ32" s="97">
        <v>0</v>
      </c>
      <c r="AR32" s="97">
        <v>0</v>
      </c>
      <c r="AS32" s="97">
        <v>0</v>
      </c>
      <c r="AT32" s="97">
        <v>23254754253</v>
      </c>
      <c r="AU32" s="97">
        <v>0</v>
      </c>
      <c r="AV32" s="97">
        <v>23254754253</v>
      </c>
      <c r="AW32" s="97">
        <v>23254754253</v>
      </c>
      <c r="AX32" s="97">
        <v>0</v>
      </c>
      <c r="AY32" s="97">
        <v>0</v>
      </c>
      <c r="AZ32" s="97">
        <v>0</v>
      </c>
      <c r="BA32" s="97">
        <v>0</v>
      </c>
      <c r="BB32" s="97">
        <v>23254754253</v>
      </c>
      <c r="BC32" s="97">
        <v>0</v>
      </c>
      <c r="BD32" s="97">
        <v>0</v>
      </c>
      <c r="BE32" s="97">
        <v>0</v>
      </c>
      <c r="BF32" s="97">
        <v>0</v>
      </c>
      <c r="BG32" s="97">
        <v>1352317238</v>
      </c>
      <c r="BH32" s="97">
        <v>0</v>
      </c>
      <c r="BI32" s="97">
        <v>1352317238</v>
      </c>
      <c r="BJ32" s="97">
        <v>1352317238</v>
      </c>
      <c r="BK32" s="97">
        <v>0</v>
      </c>
      <c r="BL32" s="97">
        <v>0</v>
      </c>
      <c r="BM32" s="97">
        <v>0</v>
      </c>
      <c r="BN32" s="97">
        <v>0</v>
      </c>
      <c r="BO32" s="97">
        <v>1352317238</v>
      </c>
      <c r="BP32" s="97">
        <v>0</v>
      </c>
      <c r="BQ32" s="97">
        <v>0</v>
      </c>
      <c r="BR32" s="97">
        <v>0</v>
      </c>
      <c r="BS32" s="97">
        <v>0</v>
      </c>
      <c r="BT32" s="97">
        <v>217960234</v>
      </c>
      <c r="BU32" s="97">
        <v>0</v>
      </c>
      <c r="BV32" s="97">
        <v>217960234</v>
      </c>
      <c r="BW32" s="97">
        <v>217960234</v>
      </c>
      <c r="BX32" s="97">
        <v>0</v>
      </c>
      <c r="BY32" s="97">
        <v>0</v>
      </c>
      <c r="BZ32" s="97">
        <v>0</v>
      </c>
      <c r="CA32" s="97">
        <v>0</v>
      </c>
      <c r="CB32" s="97">
        <v>217960234</v>
      </c>
      <c r="CC32" s="97">
        <v>0</v>
      </c>
      <c r="CD32" s="97">
        <v>0</v>
      </c>
      <c r="CE32" s="97">
        <v>0</v>
      </c>
      <c r="CF32" s="97">
        <v>0</v>
      </c>
      <c r="CG32" s="97">
        <v>96390882</v>
      </c>
      <c r="CH32" s="97">
        <v>0</v>
      </c>
      <c r="CI32" s="97">
        <v>96390882</v>
      </c>
      <c r="CJ32" s="97">
        <v>96390882</v>
      </c>
      <c r="CK32" s="97">
        <v>0</v>
      </c>
      <c r="CL32" s="97">
        <v>0</v>
      </c>
      <c r="CM32" s="97">
        <v>0</v>
      </c>
      <c r="CN32" s="97">
        <v>0</v>
      </c>
      <c r="CO32" s="97">
        <v>96390882</v>
      </c>
      <c r="CP32" s="97">
        <v>0</v>
      </c>
      <c r="CQ32" s="97">
        <v>0</v>
      </c>
      <c r="CR32" s="97">
        <v>0</v>
      </c>
      <c r="CS32" s="97">
        <v>0</v>
      </c>
      <c r="CT32" s="97">
        <v>0</v>
      </c>
      <c r="CU32" s="97">
        <v>0</v>
      </c>
      <c r="CV32" s="97">
        <v>0</v>
      </c>
      <c r="CW32" s="97">
        <v>0</v>
      </c>
      <c r="CX32" s="97">
        <v>0</v>
      </c>
      <c r="CY32" s="97">
        <v>0</v>
      </c>
      <c r="CZ32" s="97">
        <v>0</v>
      </c>
      <c r="DA32" s="97">
        <v>0</v>
      </c>
      <c r="DB32" s="97">
        <v>0</v>
      </c>
    </row>
    <row r="33" spans="1:111" ht="25.5" x14ac:dyDescent="0.2">
      <c r="A33" s="95" t="s">
        <v>254</v>
      </c>
      <c r="B33" s="96" t="s">
        <v>255</v>
      </c>
      <c r="C33" s="97">
        <v>0</v>
      </c>
      <c r="D33" s="97">
        <v>0</v>
      </c>
      <c r="E33" s="97">
        <v>0</v>
      </c>
      <c r="F33" s="97">
        <v>0</v>
      </c>
      <c r="G33" s="97">
        <v>71342833672</v>
      </c>
      <c r="H33" s="97">
        <v>0</v>
      </c>
      <c r="I33" s="97">
        <v>71342833672</v>
      </c>
      <c r="J33" s="97">
        <v>71342833672</v>
      </c>
      <c r="K33" s="97">
        <v>0</v>
      </c>
      <c r="L33" s="97">
        <v>0</v>
      </c>
      <c r="M33" s="97">
        <v>0</v>
      </c>
      <c r="N33" s="97">
        <v>0</v>
      </c>
      <c r="O33" s="97">
        <v>71342833672</v>
      </c>
      <c r="P33" s="97">
        <v>0</v>
      </c>
      <c r="Q33" s="97">
        <v>0</v>
      </c>
      <c r="R33" s="97">
        <v>0</v>
      </c>
      <c r="S33" s="97">
        <v>0</v>
      </c>
      <c r="T33" s="97">
        <v>157455736</v>
      </c>
      <c r="U33" s="97">
        <v>0</v>
      </c>
      <c r="V33" s="97">
        <v>157455736</v>
      </c>
      <c r="W33" s="97">
        <v>157455736</v>
      </c>
      <c r="X33" s="97"/>
      <c r="Y33" s="97">
        <v>0</v>
      </c>
      <c r="Z33" s="97">
        <v>0</v>
      </c>
      <c r="AA33" s="97">
        <v>0</v>
      </c>
      <c r="AB33" s="97">
        <v>157455736</v>
      </c>
      <c r="AC33" s="97">
        <v>0</v>
      </c>
      <c r="AD33" s="97">
        <v>0</v>
      </c>
      <c r="AE33" s="97">
        <v>0</v>
      </c>
      <c r="AF33" s="97">
        <v>0</v>
      </c>
      <c r="AG33" s="97">
        <v>32402745738</v>
      </c>
      <c r="AH33" s="97">
        <v>0</v>
      </c>
      <c r="AI33" s="97">
        <v>32402745738</v>
      </c>
      <c r="AJ33" s="97">
        <v>32402745738</v>
      </c>
      <c r="AK33" s="97">
        <v>0</v>
      </c>
      <c r="AL33" s="97">
        <v>0</v>
      </c>
      <c r="AM33" s="97">
        <v>0</v>
      </c>
      <c r="AN33" s="97">
        <v>0</v>
      </c>
      <c r="AO33" s="97">
        <v>32402745738</v>
      </c>
      <c r="AP33" s="97">
        <v>0</v>
      </c>
      <c r="AQ33" s="97">
        <v>0</v>
      </c>
      <c r="AR33" s="97">
        <v>0</v>
      </c>
      <c r="AS33" s="97">
        <v>0</v>
      </c>
      <c r="AT33" s="97">
        <v>33547220067</v>
      </c>
      <c r="AU33" s="97">
        <v>0</v>
      </c>
      <c r="AV33" s="97">
        <v>33547220067</v>
      </c>
      <c r="AW33" s="97">
        <v>33547220067</v>
      </c>
      <c r="AX33" s="97">
        <v>0</v>
      </c>
      <c r="AY33" s="97">
        <v>0</v>
      </c>
      <c r="AZ33" s="97">
        <v>0</v>
      </c>
      <c r="BA33" s="97">
        <v>0</v>
      </c>
      <c r="BB33" s="97">
        <v>33547220067</v>
      </c>
      <c r="BC33" s="97">
        <v>0</v>
      </c>
      <c r="BD33" s="97">
        <v>0</v>
      </c>
      <c r="BE33" s="97">
        <v>0</v>
      </c>
      <c r="BF33" s="97">
        <v>0</v>
      </c>
      <c r="BG33" s="97">
        <v>410523486</v>
      </c>
      <c r="BH33" s="97">
        <v>0</v>
      </c>
      <c r="BI33" s="97">
        <v>410523486</v>
      </c>
      <c r="BJ33" s="97">
        <v>410523486</v>
      </c>
      <c r="BK33" s="97">
        <v>0</v>
      </c>
      <c r="BL33" s="97">
        <v>0</v>
      </c>
      <c r="BM33" s="97">
        <v>0</v>
      </c>
      <c r="BN33" s="97">
        <v>0</v>
      </c>
      <c r="BO33" s="97">
        <v>410523486</v>
      </c>
      <c r="BP33" s="97">
        <v>0</v>
      </c>
      <c r="BQ33" s="97">
        <v>0</v>
      </c>
      <c r="BR33" s="97">
        <v>0</v>
      </c>
      <c r="BS33" s="97">
        <v>0</v>
      </c>
      <c r="BT33" s="97">
        <v>5135028098</v>
      </c>
      <c r="BU33" s="97">
        <v>0</v>
      </c>
      <c r="BV33" s="97">
        <v>5135028098</v>
      </c>
      <c r="BW33" s="97">
        <v>5135028098</v>
      </c>
      <c r="BX33" s="97">
        <v>0</v>
      </c>
      <c r="BY33" s="97">
        <v>0</v>
      </c>
      <c r="BZ33" s="97">
        <v>0</v>
      </c>
      <c r="CA33" s="97">
        <v>0</v>
      </c>
      <c r="CB33" s="97">
        <v>5135028098</v>
      </c>
      <c r="CC33" s="97">
        <v>0</v>
      </c>
      <c r="CD33" s="97">
        <v>0</v>
      </c>
      <c r="CE33" s="97">
        <v>0</v>
      </c>
      <c r="CF33" s="97">
        <v>0</v>
      </c>
      <c r="CG33" s="97">
        <v>39250324</v>
      </c>
      <c r="CH33" s="97">
        <v>0</v>
      </c>
      <c r="CI33" s="97">
        <v>39250324</v>
      </c>
      <c r="CJ33" s="97">
        <v>39250324</v>
      </c>
      <c r="CK33" s="97">
        <v>0</v>
      </c>
      <c r="CL33" s="97">
        <v>0</v>
      </c>
      <c r="CM33" s="97">
        <v>0</v>
      </c>
      <c r="CN33" s="97">
        <v>0</v>
      </c>
      <c r="CO33" s="97">
        <v>39250324</v>
      </c>
      <c r="CP33" s="97">
        <v>0</v>
      </c>
      <c r="CQ33" s="97">
        <v>0</v>
      </c>
      <c r="CR33" s="97">
        <v>0</v>
      </c>
      <c r="CS33" s="97">
        <v>0</v>
      </c>
      <c r="CT33" s="97">
        <v>61133709</v>
      </c>
      <c r="CU33" s="97">
        <v>0</v>
      </c>
      <c r="CV33" s="97">
        <v>61133709</v>
      </c>
      <c r="CW33" s="97">
        <v>61133709</v>
      </c>
      <c r="CX33" s="97">
        <v>0</v>
      </c>
      <c r="CY33" s="97">
        <v>0</v>
      </c>
      <c r="CZ33" s="97">
        <v>0</v>
      </c>
      <c r="DA33" s="97">
        <v>0</v>
      </c>
      <c r="DB33" s="97">
        <v>61133709</v>
      </c>
    </row>
    <row r="34" spans="1:111" x14ac:dyDescent="0.2">
      <c r="A34" s="95" t="s">
        <v>256</v>
      </c>
      <c r="B34" s="96" t="s">
        <v>257</v>
      </c>
      <c r="C34" s="97">
        <v>0</v>
      </c>
      <c r="D34" s="97">
        <v>0</v>
      </c>
      <c r="E34" s="97">
        <v>0</v>
      </c>
      <c r="F34" s="97">
        <v>0</v>
      </c>
      <c r="G34" s="97">
        <v>14265416959</v>
      </c>
      <c r="H34" s="97">
        <v>0</v>
      </c>
      <c r="I34" s="97">
        <v>14265416959</v>
      </c>
      <c r="J34" s="97">
        <v>14265416959</v>
      </c>
      <c r="K34" s="97">
        <v>0</v>
      </c>
      <c r="L34" s="97">
        <v>0</v>
      </c>
      <c r="M34" s="97">
        <v>0</v>
      </c>
      <c r="N34" s="97">
        <v>0</v>
      </c>
      <c r="O34" s="97">
        <v>14265416959</v>
      </c>
      <c r="P34" s="97">
        <v>0</v>
      </c>
      <c r="Q34" s="97">
        <v>0</v>
      </c>
      <c r="R34" s="97">
        <v>0</v>
      </c>
      <c r="S34" s="97">
        <v>0</v>
      </c>
      <c r="T34" s="97">
        <v>7149698721</v>
      </c>
      <c r="U34" s="97">
        <v>0</v>
      </c>
      <c r="V34" s="97">
        <v>7149698721</v>
      </c>
      <c r="W34" s="97">
        <v>7149698721</v>
      </c>
      <c r="X34" s="97"/>
      <c r="Y34" s="97">
        <v>0</v>
      </c>
      <c r="Z34" s="97">
        <v>0</v>
      </c>
      <c r="AA34" s="97">
        <v>0</v>
      </c>
      <c r="AB34" s="97">
        <v>7149698721</v>
      </c>
      <c r="AC34" s="97">
        <v>0</v>
      </c>
      <c r="AD34" s="97">
        <v>0</v>
      </c>
      <c r="AE34" s="97">
        <v>0</v>
      </c>
      <c r="AF34" s="97">
        <v>0</v>
      </c>
      <c r="AG34" s="97">
        <v>4426668910</v>
      </c>
      <c r="AH34" s="97">
        <v>0</v>
      </c>
      <c r="AI34" s="97">
        <v>4426668910</v>
      </c>
      <c r="AJ34" s="97">
        <v>4426668910</v>
      </c>
      <c r="AK34" s="97">
        <v>0</v>
      </c>
      <c r="AL34" s="97">
        <v>0</v>
      </c>
      <c r="AM34" s="97">
        <v>0</v>
      </c>
      <c r="AN34" s="97">
        <v>0</v>
      </c>
      <c r="AO34" s="97">
        <v>4426668910</v>
      </c>
      <c r="AP34" s="97">
        <v>0</v>
      </c>
      <c r="AQ34" s="97">
        <v>0</v>
      </c>
      <c r="AR34" s="97">
        <v>0</v>
      </c>
      <c r="AS34" s="97">
        <v>0</v>
      </c>
      <c r="AT34" s="97">
        <v>2301890287</v>
      </c>
      <c r="AU34" s="97">
        <v>0</v>
      </c>
      <c r="AV34" s="97">
        <v>2301890287</v>
      </c>
      <c r="AW34" s="97">
        <v>2301890287</v>
      </c>
      <c r="AX34" s="97">
        <v>0</v>
      </c>
      <c r="AY34" s="97">
        <v>0</v>
      </c>
      <c r="AZ34" s="97">
        <v>0</v>
      </c>
      <c r="BA34" s="97">
        <v>0</v>
      </c>
      <c r="BB34" s="97">
        <v>2301890287</v>
      </c>
      <c r="BC34" s="97">
        <v>0</v>
      </c>
      <c r="BD34" s="97">
        <v>0</v>
      </c>
      <c r="BE34" s="97">
        <v>0</v>
      </c>
      <c r="BF34" s="97">
        <v>0</v>
      </c>
      <c r="BG34" s="97">
        <v>84344140</v>
      </c>
      <c r="BH34" s="97">
        <v>0</v>
      </c>
      <c r="BI34" s="97">
        <v>84344140</v>
      </c>
      <c r="BJ34" s="97">
        <v>84344140</v>
      </c>
      <c r="BK34" s="97">
        <v>0</v>
      </c>
      <c r="BL34" s="97">
        <v>0</v>
      </c>
      <c r="BM34" s="97">
        <v>0</v>
      </c>
      <c r="BN34" s="97">
        <v>0</v>
      </c>
      <c r="BO34" s="97">
        <v>84344140</v>
      </c>
      <c r="BP34" s="97">
        <v>0</v>
      </c>
      <c r="BQ34" s="97">
        <v>0</v>
      </c>
      <c r="BR34" s="97">
        <v>0</v>
      </c>
      <c r="BS34" s="97">
        <v>0</v>
      </c>
      <c r="BT34" s="97">
        <v>375202927</v>
      </c>
      <c r="BU34" s="97">
        <v>0</v>
      </c>
      <c r="BV34" s="97">
        <v>375202927</v>
      </c>
      <c r="BW34" s="97">
        <v>375202927</v>
      </c>
      <c r="BX34" s="97">
        <v>0</v>
      </c>
      <c r="BY34" s="97">
        <v>0</v>
      </c>
      <c r="BZ34" s="97">
        <v>0</v>
      </c>
      <c r="CA34" s="97">
        <v>0</v>
      </c>
      <c r="CB34" s="97">
        <v>375202927</v>
      </c>
      <c r="CC34" s="97">
        <v>0</v>
      </c>
      <c r="CD34" s="97">
        <v>0</v>
      </c>
      <c r="CE34" s="97">
        <v>0</v>
      </c>
      <c r="CF34" s="97">
        <v>0</v>
      </c>
      <c r="CG34" s="97">
        <v>8267743</v>
      </c>
      <c r="CH34" s="97">
        <v>0</v>
      </c>
      <c r="CI34" s="97">
        <v>8267743</v>
      </c>
      <c r="CJ34" s="97">
        <v>8267743</v>
      </c>
      <c r="CK34" s="97">
        <v>0</v>
      </c>
      <c r="CL34" s="97">
        <v>0</v>
      </c>
      <c r="CM34" s="97">
        <v>0</v>
      </c>
      <c r="CN34" s="97">
        <v>0</v>
      </c>
      <c r="CO34" s="97">
        <v>8267743</v>
      </c>
      <c r="CP34" s="97">
        <v>0</v>
      </c>
      <c r="CQ34" s="97">
        <v>0</v>
      </c>
      <c r="CR34" s="97">
        <v>0</v>
      </c>
      <c r="CS34" s="97">
        <v>0</v>
      </c>
      <c r="CT34" s="97">
        <v>3688371</v>
      </c>
      <c r="CU34" s="97">
        <v>0</v>
      </c>
      <c r="CV34" s="97">
        <v>3688371</v>
      </c>
      <c r="CW34" s="97">
        <v>3688371</v>
      </c>
      <c r="CX34" s="97">
        <v>0</v>
      </c>
      <c r="CY34" s="97">
        <v>0</v>
      </c>
      <c r="CZ34" s="97">
        <v>0</v>
      </c>
      <c r="DA34" s="97">
        <v>0</v>
      </c>
      <c r="DB34" s="97">
        <v>3688371</v>
      </c>
    </row>
    <row r="35" spans="1:111" x14ac:dyDescent="0.2">
      <c r="A35" s="95" t="s">
        <v>258</v>
      </c>
      <c r="B35" s="96" t="s">
        <v>259</v>
      </c>
      <c r="C35" s="97">
        <v>0</v>
      </c>
      <c r="D35" s="97">
        <v>0</v>
      </c>
      <c r="E35" s="97">
        <v>0</v>
      </c>
      <c r="F35" s="97">
        <v>0</v>
      </c>
      <c r="G35" s="97">
        <v>3459726653</v>
      </c>
      <c r="H35" s="97">
        <v>0</v>
      </c>
      <c r="I35" s="97">
        <v>3459726653</v>
      </c>
      <c r="J35" s="97">
        <v>3459726653</v>
      </c>
      <c r="K35" s="97">
        <v>0</v>
      </c>
      <c r="L35" s="97">
        <v>0</v>
      </c>
      <c r="M35" s="97">
        <v>0</v>
      </c>
      <c r="N35" s="97">
        <v>0</v>
      </c>
      <c r="O35" s="97">
        <v>3459726653</v>
      </c>
      <c r="P35" s="97">
        <v>0</v>
      </c>
      <c r="Q35" s="97">
        <v>0</v>
      </c>
      <c r="R35" s="97">
        <v>0</v>
      </c>
      <c r="S35" s="97">
        <v>0</v>
      </c>
      <c r="T35" s="97">
        <v>580851764</v>
      </c>
      <c r="U35" s="97">
        <v>0</v>
      </c>
      <c r="V35" s="97">
        <v>580851764</v>
      </c>
      <c r="W35" s="97">
        <v>580851764</v>
      </c>
      <c r="X35" s="97"/>
      <c r="Y35" s="97">
        <v>0</v>
      </c>
      <c r="Z35" s="97">
        <v>0</v>
      </c>
      <c r="AA35" s="97">
        <v>0</v>
      </c>
      <c r="AB35" s="97">
        <v>580851764</v>
      </c>
      <c r="AC35" s="97">
        <v>0</v>
      </c>
      <c r="AD35" s="97">
        <v>0</v>
      </c>
      <c r="AE35" s="97">
        <v>0</v>
      </c>
      <c r="AF35" s="97">
        <v>0</v>
      </c>
      <c r="AG35" s="97">
        <v>661650927</v>
      </c>
      <c r="AH35" s="97">
        <v>0</v>
      </c>
      <c r="AI35" s="97">
        <v>661650927</v>
      </c>
      <c r="AJ35" s="97">
        <v>661650927</v>
      </c>
      <c r="AK35" s="97">
        <v>0</v>
      </c>
      <c r="AL35" s="97">
        <v>0</v>
      </c>
      <c r="AM35" s="97">
        <v>0</v>
      </c>
      <c r="AN35" s="97">
        <v>0</v>
      </c>
      <c r="AO35" s="97">
        <v>661650927</v>
      </c>
      <c r="AP35" s="97">
        <v>0</v>
      </c>
      <c r="AQ35" s="97">
        <v>0</v>
      </c>
      <c r="AR35" s="97">
        <v>0</v>
      </c>
      <c r="AS35" s="97">
        <v>0</v>
      </c>
      <c r="AT35" s="97">
        <v>2017128721</v>
      </c>
      <c r="AU35" s="97">
        <v>0</v>
      </c>
      <c r="AV35" s="97">
        <v>2017128721</v>
      </c>
      <c r="AW35" s="97">
        <v>2017128721</v>
      </c>
      <c r="AX35" s="97">
        <v>0</v>
      </c>
      <c r="AY35" s="97">
        <v>0</v>
      </c>
      <c r="AZ35" s="97">
        <v>0</v>
      </c>
      <c r="BA35" s="97">
        <v>0</v>
      </c>
      <c r="BB35" s="97">
        <v>2017128721</v>
      </c>
      <c r="BC35" s="97">
        <v>0</v>
      </c>
      <c r="BD35" s="97">
        <v>0</v>
      </c>
      <c r="BE35" s="97">
        <v>0</v>
      </c>
      <c r="BF35" s="97">
        <v>0</v>
      </c>
      <c r="BG35" s="97">
        <v>98842230</v>
      </c>
      <c r="BH35" s="97">
        <v>0</v>
      </c>
      <c r="BI35" s="97">
        <v>98842230</v>
      </c>
      <c r="BJ35" s="97">
        <v>98842230</v>
      </c>
      <c r="BK35" s="97">
        <v>0</v>
      </c>
      <c r="BL35" s="97">
        <v>0</v>
      </c>
      <c r="BM35" s="97">
        <v>0</v>
      </c>
      <c r="BN35" s="97">
        <v>0</v>
      </c>
      <c r="BO35" s="97">
        <v>98842230</v>
      </c>
      <c r="BP35" s="97">
        <v>0</v>
      </c>
      <c r="BQ35" s="97">
        <v>0</v>
      </c>
      <c r="BR35" s="97">
        <v>0</v>
      </c>
      <c r="BS35" s="97">
        <v>0</v>
      </c>
      <c r="BT35" s="97">
        <v>192272364</v>
      </c>
      <c r="BU35" s="97">
        <v>0</v>
      </c>
      <c r="BV35" s="97">
        <v>192272364</v>
      </c>
      <c r="BW35" s="97">
        <v>192272364</v>
      </c>
      <c r="BX35" s="97">
        <v>0</v>
      </c>
      <c r="BY35" s="97">
        <v>0</v>
      </c>
      <c r="BZ35" s="97">
        <v>0</v>
      </c>
      <c r="CA35" s="97">
        <v>0</v>
      </c>
      <c r="CB35" s="97">
        <v>192272364</v>
      </c>
      <c r="CC35" s="97">
        <v>0</v>
      </c>
      <c r="CD35" s="97">
        <v>0</v>
      </c>
      <c r="CE35" s="97">
        <v>0</v>
      </c>
      <c r="CF35" s="97">
        <v>0</v>
      </c>
      <c r="CG35" s="97">
        <v>7822877</v>
      </c>
      <c r="CH35" s="97">
        <v>0</v>
      </c>
      <c r="CI35" s="97">
        <v>7822877</v>
      </c>
      <c r="CJ35" s="97">
        <v>7822877</v>
      </c>
      <c r="CK35" s="97">
        <v>0</v>
      </c>
      <c r="CL35" s="97">
        <v>0</v>
      </c>
      <c r="CM35" s="97">
        <v>0</v>
      </c>
      <c r="CN35" s="97">
        <v>0</v>
      </c>
      <c r="CO35" s="97">
        <v>7822877</v>
      </c>
      <c r="CP35" s="97">
        <v>0</v>
      </c>
      <c r="CQ35" s="97">
        <v>0</v>
      </c>
      <c r="CR35" s="97">
        <v>0</v>
      </c>
      <c r="CS35" s="97">
        <v>0</v>
      </c>
      <c r="CT35" s="97">
        <v>0</v>
      </c>
      <c r="CU35" s="97">
        <v>0</v>
      </c>
      <c r="CV35" s="97">
        <v>0</v>
      </c>
      <c r="CW35" s="97">
        <v>0</v>
      </c>
      <c r="CX35" s="97">
        <v>0</v>
      </c>
      <c r="CY35" s="97">
        <v>0</v>
      </c>
      <c r="CZ35" s="97">
        <v>0</v>
      </c>
      <c r="DA35" s="97">
        <v>0</v>
      </c>
      <c r="DB35" s="97">
        <v>0</v>
      </c>
    </row>
    <row r="36" spans="1:111" x14ac:dyDescent="0.2">
      <c r="A36" s="95" t="s">
        <v>260</v>
      </c>
      <c r="B36" s="96" t="s">
        <v>261</v>
      </c>
      <c r="C36" s="97">
        <v>0</v>
      </c>
      <c r="D36" s="97">
        <v>0</v>
      </c>
      <c r="E36" s="97">
        <v>0</v>
      </c>
      <c r="F36" s="97">
        <v>0</v>
      </c>
      <c r="G36" s="97">
        <v>73956406105</v>
      </c>
      <c r="H36" s="97">
        <v>0</v>
      </c>
      <c r="I36" s="97">
        <v>73956406105</v>
      </c>
      <c r="J36" s="97">
        <v>73956406105</v>
      </c>
      <c r="K36" s="97">
        <v>0</v>
      </c>
      <c r="L36" s="97">
        <v>0</v>
      </c>
      <c r="M36" s="97">
        <v>0</v>
      </c>
      <c r="N36" s="97">
        <v>0</v>
      </c>
      <c r="O36" s="97">
        <v>73956406105</v>
      </c>
      <c r="P36" s="97">
        <v>0</v>
      </c>
      <c r="Q36" s="97">
        <v>0</v>
      </c>
      <c r="R36" s="97">
        <v>0</v>
      </c>
      <c r="S36" s="97">
        <v>0</v>
      </c>
      <c r="T36" s="97">
        <v>2429244331</v>
      </c>
      <c r="U36" s="97">
        <v>0</v>
      </c>
      <c r="V36" s="97">
        <v>2429244331</v>
      </c>
      <c r="W36" s="97">
        <v>2429244331</v>
      </c>
      <c r="X36" s="97"/>
      <c r="Y36" s="97">
        <v>0</v>
      </c>
      <c r="Z36" s="97">
        <v>0</v>
      </c>
      <c r="AA36" s="97">
        <v>0</v>
      </c>
      <c r="AB36" s="97">
        <v>2429244331</v>
      </c>
      <c r="AC36" s="97">
        <v>0</v>
      </c>
      <c r="AD36" s="97">
        <v>0</v>
      </c>
      <c r="AE36" s="97">
        <v>0</v>
      </c>
      <c r="AF36" s="97">
        <v>0</v>
      </c>
      <c r="AG36" s="97">
        <v>18067029752</v>
      </c>
      <c r="AH36" s="97">
        <v>0</v>
      </c>
      <c r="AI36" s="97">
        <v>18067029752</v>
      </c>
      <c r="AJ36" s="97">
        <v>18067029752</v>
      </c>
      <c r="AK36" s="97">
        <v>0</v>
      </c>
      <c r="AL36" s="97">
        <v>0</v>
      </c>
      <c r="AM36" s="97">
        <v>0</v>
      </c>
      <c r="AN36" s="97">
        <v>0</v>
      </c>
      <c r="AO36" s="97">
        <v>18067029752</v>
      </c>
      <c r="AP36" s="97">
        <v>0</v>
      </c>
      <c r="AQ36" s="97">
        <v>0</v>
      </c>
      <c r="AR36" s="97">
        <v>0</v>
      </c>
      <c r="AS36" s="97">
        <v>0</v>
      </c>
      <c r="AT36" s="97">
        <v>45361584873</v>
      </c>
      <c r="AU36" s="97">
        <v>0</v>
      </c>
      <c r="AV36" s="97">
        <v>45361584873</v>
      </c>
      <c r="AW36" s="97">
        <v>45361584873</v>
      </c>
      <c r="AX36" s="97">
        <v>0</v>
      </c>
      <c r="AY36" s="97">
        <v>0</v>
      </c>
      <c r="AZ36" s="97">
        <v>0</v>
      </c>
      <c r="BA36" s="97">
        <v>0</v>
      </c>
      <c r="BB36" s="97">
        <v>45361584873</v>
      </c>
      <c r="BC36" s="97">
        <v>0</v>
      </c>
      <c r="BD36" s="97">
        <v>0</v>
      </c>
      <c r="BE36" s="97">
        <v>0</v>
      </c>
      <c r="BF36" s="97">
        <v>0</v>
      </c>
      <c r="BG36" s="97">
        <v>1007306597</v>
      </c>
      <c r="BH36" s="97">
        <v>0</v>
      </c>
      <c r="BI36" s="97">
        <v>1007306597</v>
      </c>
      <c r="BJ36" s="97">
        <v>1007306597</v>
      </c>
      <c r="BK36" s="97">
        <v>0</v>
      </c>
      <c r="BL36" s="97">
        <v>0</v>
      </c>
      <c r="BM36" s="97">
        <v>0</v>
      </c>
      <c r="BN36" s="97">
        <v>0</v>
      </c>
      <c r="BO36" s="97">
        <v>1007306597</v>
      </c>
      <c r="BP36" s="97">
        <v>0</v>
      </c>
      <c r="BQ36" s="97">
        <v>0</v>
      </c>
      <c r="BR36" s="97">
        <v>0</v>
      </c>
      <c r="BS36" s="97">
        <v>0</v>
      </c>
      <c r="BT36" s="97">
        <v>8051859712</v>
      </c>
      <c r="BU36" s="97">
        <v>0</v>
      </c>
      <c r="BV36" s="97">
        <v>8051859712</v>
      </c>
      <c r="BW36" s="97">
        <v>8051859712</v>
      </c>
      <c r="BX36" s="97">
        <v>0</v>
      </c>
      <c r="BY36" s="97">
        <v>0</v>
      </c>
      <c r="BZ36" s="97">
        <v>0</v>
      </c>
      <c r="CA36" s="97">
        <v>0</v>
      </c>
      <c r="CB36" s="97">
        <v>8051859712</v>
      </c>
      <c r="CC36" s="97">
        <v>0</v>
      </c>
      <c r="CD36" s="97">
        <v>0</v>
      </c>
      <c r="CE36" s="97">
        <v>0</v>
      </c>
      <c r="CF36" s="97">
        <v>0</v>
      </c>
      <c r="CG36" s="97">
        <v>46360785</v>
      </c>
      <c r="CH36" s="97">
        <v>0</v>
      </c>
      <c r="CI36" s="97">
        <v>46360785</v>
      </c>
      <c r="CJ36" s="97">
        <v>46360785</v>
      </c>
      <c r="CK36" s="97">
        <v>0</v>
      </c>
      <c r="CL36" s="97">
        <v>0</v>
      </c>
      <c r="CM36" s="97">
        <v>0</v>
      </c>
      <c r="CN36" s="97">
        <v>0</v>
      </c>
      <c r="CO36" s="97">
        <v>46360785</v>
      </c>
      <c r="CP36" s="97">
        <v>0</v>
      </c>
      <c r="CQ36" s="97">
        <v>0</v>
      </c>
      <c r="CR36" s="97">
        <v>0</v>
      </c>
      <c r="CS36" s="97">
        <v>0</v>
      </c>
      <c r="CT36" s="97">
        <v>326652</v>
      </c>
      <c r="CU36" s="97">
        <v>0</v>
      </c>
      <c r="CV36" s="97">
        <v>326652</v>
      </c>
      <c r="CW36" s="97">
        <v>326652</v>
      </c>
      <c r="CX36" s="97">
        <v>0</v>
      </c>
      <c r="CY36" s="97">
        <v>0</v>
      </c>
      <c r="CZ36" s="97">
        <v>0</v>
      </c>
      <c r="DA36" s="97">
        <v>0</v>
      </c>
      <c r="DB36" s="97">
        <v>326652</v>
      </c>
    </row>
    <row r="37" spans="1:111" ht="25.5" x14ac:dyDescent="0.2">
      <c r="A37" s="95" t="s">
        <v>262</v>
      </c>
      <c r="B37" s="96" t="s">
        <v>263</v>
      </c>
      <c r="C37" s="97">
        <v>0</v>
      </c>
      <c r="D37" s="97">
        <v>0</v>
      </c>
      <c r="E37" s="97">
        <v>0</v>
      </c>
      <c r="F37" s="97">
        <v>0</v>
      </c>
      <c r="G37" s="97">
        <v>8053501</v>
      </c>
      <c r="H37" s="97">
        <v>0</v>
      </c>
      <c r="I37" s="97">
        <v>8053501</v>
      </c>
      <c r="J37" s="97">
        <v>8053501</v>
      </c>
      <c r="K37" s="97">
        <v>0</v>
      </c>
      <c r="L37" s="97">
        <v>0</v>
      </c>
      <c r="M37" s="97">
        <v>0</v>
      </c>
      <c r="N37" s="97">
        <v>0</v>
      </c>
      <c r="O37" s="97">
        <v>8053501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/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4174482</v>
      </c>
      <c r="AH37" s="97">
        <v>0</v>
      </c>
      <c r="AI37" s="97">
        <v>4174482</v>
      </c>
      <c r="AJ37" s="97">
        <v>4174482</v>
      </c>
      <c r="AK37" s="97">
        <v>0</v>
      </c>
      <c r="AL37" s="97">
        <v>0</v>
      </c>
      <c r="AM37" s="97">
        <v>0</v>
      </c>
      <c r="AN37" s="97">
        <v>0</v>
      </c>
      <c r="AO37" s="97">
        <v>4174482</v>
      </c>
      <c r="AP37" s="97">
        <v>0</v>
      </c>
      <c r="AQ37" s="97">
        <v>0</v>
      </c>
      <c r="AR37" s="97">
        <v>0</v>
      </c>
      <c r="AS37" s="97">
        <v>0</v>
      </c>
      <c r="AT37" s="97">
        <v>693800</v>
      </c>
      <c r="AU37" s="97">
        <v>0</v>
      </c>
      <c r="AV37" s="97">
        <v>693800</v>
      </c>
      <c r="AW37" s="97">
        <v>693800</v>
      </c>
      <c r="AX37" s="97">
        <v>0</v>
      </c>
      <c r="AY37" s="97">
        <v>0</v>
      </c>
      <c r="AZ37" s="97">
        <v>0</v>
      </c>
      <c r="BA37" s="97">
        <v>0</v>
      </c>
      <c r="BB37" s="97">
        <v>693800</v>
      </c>
      <c r="BC37" s="97">
        <v>0</v>
      </c>
      <c r="BD37" s="97">
        <v>0</v>
      </c>
      <c r="BE37" s="97">
        <v>0</v>
      </c>
      <c r="BF37" s="97">
        <v>0</v>
      </c>
      <c r="BG37" s="97">
        <v>693800</v>
      </c>
      <c r="BH37" s="97">
        <v>0</v>
      </c>
      <c r="BI37" s="97">
        <v>693800</v>
      </c>
      <c r="BJ37" s="97">
        <v>693800</v>
      </c>
      <c r="BK37" s="97">
        <v>0</v>
      </c>
      <c r="BL37" s="97">
        <v>0</v>
      </c>
      <c r="BM37" s="97">
        <v>0</v>
      </c>
      <c r="BN37" s="97">
        <v>0</v>
      </c>
      <c r="BO37" s="97">
        <v>693800</v>
      </c>
      <c r="BP37" s="97">
        <v>0</v>
      </c>
      <c r="BQ37" s="97">
        <v>0</v>
      </c>
      <c r="BR37" s="97">
        <v>0</v>
      </c>
      <c r="BS37" s="97">
        <v>0</v>
      </c>
      <c r="BT37" s="97">
        <v>3185219</v>
      </c>
      <c r="BU37" s="97">
        <v>0</v>
      </c>
      <c r="BV37" s="97">
        <v>3185219</v>
      </c>
      <c r="BW37" s="97">
        <v>3185219</v>
      </c>
      <c r="BX37" s="97">
        <v>0</v>
      </c>
      <c r="BY37" s="97">
        <v>0</v>
      </c>
      <c r="BZ37" s="97">
        <v>0</v>
      </c>
      <c r="CA37" s="97">
        <v>0</v>
      </c>
      <c r="CB37" s="97">
        <v>3185219</v>
      </c>
      <c r="CC37" s="97"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0</v>
      </c>
      <c r="CI37" s="97">
        <v>0</v>
      </c>
      <c r="CJ37" s="97">
        <v>0</v>
      </c>
      <c r="CK37" s="97">
        <v>0</v>
      </c>
      <c r="CL37" s="97">
        <v>0</v>
      </c>
      <c r="CM37" s="97">
        <v>0</v>
      </c>
      <c r="CN37" s="97">
        <v>0</v>
      </c>
      <c r="CO37" s="97">
        <v>0</v>
      </c>
      <c r="CP37" s="97">
        <v>0</v>
      </c>
      <c r="CQ37" s="97">
        <v>0</v>
      </c>
      <c r="CR37" s="97">
        <v>0</v>
      </c>
      <c r="CS37" s="97">
        <v>0</v>
      </c>
      <c r="CT37" s="97">
        <v>0</v>
      </c>
      <c r="CU37" s="97">
        <v>0</v>
      </c>
      <c r="CV37" s="97">
        <v>0</v>
      </c>
      <c r="CW37" s="97">
        <v>0</v>
      </c>
      <c r="CX37" s="97">
        <v>0</v>
      </c>
      <c r="CY37" s="97">
        <v>0</v>
      </c>
      <c r="CZ37" s="97">
        <v>0</v>
      </c>
      <c r="DA37" s="97">
        <v>0</v>
      </c>
      <c r="DB37" s="97">
        <v>0</v>
      </c>
    </row>
    <row r="38" spans="1:111" s="103" customFormat="1" x14ac:dyDescent="0.2">
      <c r="A38" s="98"/>
      <c r="B38" s="99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  <c r="R38" s="101"/>
      <c r="S38" s="101"/>
      <c r="T38" s="100"/>
      <c r="U38" s="101"/>
      <c r="V38" s="101"/>
      <c r="W38" s="100"/>
      <c r="X38" s="100"/>
      <c r="Y38" s="101"/>
      <c r="Z38" s="101"/>
      <c r="AA38" s="101"/>
      <c r="AB38" s="100"/>
      <c r="AC38" s="100"/>
      <c r="AD38" s="101"/>
      <c r="AE38" s="101"/>
      <c r="AF38" s="101"/>
      <c r="AG38" s="101"/>
      <c r="AH38" s="100"/>
      <c r="AI38" s="101"/>
      <c r="AJ38" s="101"/>
      <c r="AK38" s="100"/>
      <c r="AL38" s="100"/>
      <c r="AM38" s="101"/>
      <c r="AN38" s="101"/>
      <c r="AO38" s="101"/>
      <c r="AP38" s="100"/>
      <c r="AQ38" s="100"/>
      <c r="AR38" s="101"/>
      <c r="AS38" s="101"/>
      <c r="AT38" s="101"/>
      <c r="AU38" s="101"/>
      <c r="AV38" s="100"/>
      <c r="AW38" s="101"/>
      <c r="AX38" s="101"/>
      <c r="AY38" s="100"/>
      <c r="AZ38" s="100"/>
      <c r="BA38" s="101"/>
      <c r="BB38" s="101"/>
      <c r="BC38" s="101"/>
      <c r="BD38" s="100"/>
      <c r="BE38" s="100"/>
      <c r="BF38" s="101"/>
      <c r="BG38" s="101"/>
      <c r="BH38" s="101"/>
      <c r="BI38" s="101"/>
      <c r="BJ38" s="100"/>
      <c r="BK38" s="101"/>
      <c r="BL38" s="101"/>
      <c r="BM38" s="100"/>
      <c r="BN38" s="100"/>
      <c r="BO38" s="101"/>
      <c r="BP38" s="101"/>
      <c r="BQ38" s="101"/>
      <c r="BR38" s="100"/>
      <c r="BS38" s="100"/>
      <c r="BT38" s="101"/>
      <c r="BU38" s="101"/>
      <c r="BV38" s="101"/>
      <c r="BW38" s="100"/>
      <c r="BX38" s="101"/>
      <c r="BY38" s="101"/>
      <c r="BZ38" s="100"/>
      <c r="CA38" s="100"/>
      <c r="CB38" s="101"/>
      <c r="CC38" s="101"/>
      <c r="CD38" s="101"/>
      <c r="CE38" s="100"/>
      <c r="CF38" s="100"/>
      <c r="CG38" s="101"/>
      <c r="CH38" s="101"/>
      <c r="CI38" s="101"/>
      <c r="CJ38" s="101"/>
      <c r="CK38" s="100"/>
      <c r="CL38" s="101"/>
      <c r="CM38" s="101"/>
      <c r="CN38" s="100"/>
      <c r="CO38" s="100"/>
      <c r="CP38" s="101"/>
      <c r="CQ38" s="101"/>
      <c r="CR38" s="101"/>
      <c r="CS38" s="100"/>
      <c r="CT38" s="100"/>
      <c r="CU38" s="101"/>
      <c r="CV38" s="101"/>
      <c r="CW38" s="101"/>
      <c r="CX38" s="101"/>
      <c r="CY38" s="100"/>
      <c r="CZ38" s="101"/>
      <c r="DA38" s="101"/>
      <c r="DB38" s="100"/>
      <c r="DC38" s="102"/>
      <c r="DG38" s="115"/>
    </row>
    <row r="39" spans="1:111" x14ac:dyDescent="0.2">
      <c r="A39" s="12" t="s">
        <v>264</v>
      </c>
      <c r="B39" s="12"/>
      <c r="C39" s="12"/>
      <c r="D39" s="12"/>
      <c r="E39" s="12"/>
      <c r="F39" s="12"/>
      <c r="G39" s="12"/>
      <c r="H39" s="12"/>
      <c r="I39" s="12"/>
      <c r="J39" s="12"/>
      <c r="K39" s="104" t="s">
        <v>557</v>
      </c>
      <c r="L39" s="105" t="s">
        <v>265</v>
      </c>
      <c r="M39" s="105"/>
      <c r="N39" s="105"/>
      <c r="O39" s="13"/>
      <c r="P39" s="13"/>
      <c r="Q39" s="13"/>
      <c r="R39" s="8"/>
      <c r="S39" s="8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</row>
    <row r="40" spans="1:111" ht="12.75" customHeight="1" x14ac:dyDescent="0.2">
      <c r="A40" s="12" t="s">
        <v>266</v>
      </c>
      <c r="B40" s="12"/>
      <c r="C40" s="12"/>
      <c r="D40" s="12"/>
      <c r="E40" s="12"/>
      <c r="F40" s="12"/>
      <c r="G40" s="106" t="s">
        <v>267</v>
      </c>
      <c r="H40" s="1757" t="s">
        <v>268</v>
      </c>
      <c r="I40" s="1757"/>
      <c r="J40" s="1757"/>
      <c r="K40" s="1757"/>
      <c r="L40" s="1757"/>
      <c r="M40" s="107"/>
      <c r="N40" s="13" t="s">
        <v>269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</row>
    <row r="41" spans="1:111" x14ac:dyDescent="0.2">
      <c r="A41" s="8" t="s">
        <v>270</v>
      </c>
      <c r="B41" s="108"/>
      <c r="C41" s="1758" t="s">
        <v>271</v>
      </c>
      <c r="D41" s="1758"/>
      <c r="E41" s="1758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</row>
    <row r="42" spans="1:111" ht="12.75" customHeight="1" x14ac:dyDescent="0.2">
      <c r="A42" s="1756" t="s">
        <v>272</v>
      </c>
      <c r="B42" s="1756"/>
      <c r="C42" s="1756"/>
      <c r="D42" s="1756"/>
      <c r="E42" s="1756"/>
      <c r="F42" s="1756"/>
      <c r="G42" s="1756"/>
      <c r="H42" s="109"/>
      <c r="I42" s="110" t="s">
        <v>273</v>
      </c>
      <c r="J42" s="111"/>
      <c r="K42" s="111"/>
      <c r="L42" s="111"/>
      <c r="M42" s="111"/>
      <c r="N42" s="111"/>
      <c r="O42" s="111"/>
      <c r="P42" s="111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</row>
    <row r="47" spans="1:111" x14ac:dyDescent="0.2">
      <c r="A47" s="112"/>
    </row>
    <row r="48" spans="1:111" x14ac:dyDescent="0.2">
      <c r="A48" s="113"/>
    </row>
  </sheetData>
  <mergeCells count="55">
    <mergeCell ref="CT4:CV4"/>
    <mergeCell ref="CW4:CW5"/>
    <mergeCell ref="CX4:DA4"/>
    <mergeCell ref="H40:L40"/>
    <mergeCell ref="C41:E41"/>
    <mergeCell ref="BX4:CA4"/>
    <mergeCell ref="CC4:CF4"/>
    <mergeCell ref="CG4:CI4"/>
    <mergeCell ref="CJ4:CJ5"/>
    <mergeCell ref="CK4:CN4"/>
    <mergeCell ref="CP4:CS4"/>
    <mergeCell ref="A42:G42"/>
    <mergeCell ref="BK4:BN4"/>
    <mergeCell ref="BP4:BS4"/>
    <mergeCell ref="BT4:BV4"/>
    <mergeCell ref="BW4:BW5"/>
    <mergeCell ref="AT4:AV4"/>
    <mergeCell ref="AW4:AW5"/>
    <mergeCell ref="AX4:BA4"/>
    <mergeCell ref="BC4:BF4"/>
    <mergeCell ref="BG4:BI4"/>
    <mergeCell ref="BJ4:BJ5"/>
    <mergeCell ref="AB3:AB5"/>
    <mergeCell ref="AC3:AN3"/>
    <mergeCell ref="AO3:AO5"/>
    <mergeCell ref="AP3:BA3"/>
    <mergeCell ref="BB3:BB5"/>
    <mergeCell ref="DB3:DB5"/>
    <mergeCell ref="C4:F4"/>
    <mergeCell ref="G4:I4"/>
    <mergeCell ref="J4:J5"/>
    <mergeCell ref="K4:N4"/>
    <mergeCell ref="P4:S4"/>
    <mergeCell ref="T4:V4"/>
    <mergeCell ref="W4:W5"/>
    <mergeCell ref="X4:AA4"/>
    <mergeCell ref="AC4:AF4"/>
    <mergeCell ref="BO3:BO5"/>
    <mergeCell ref="BP3:CA3"/>
    <mergeCell ref="CB3:CB5"/>
    <mergeCell ref="CC3:CN3"/>
    <mergeCell ref="CO3:CO5"/>
    <mergeCell ref="CP3:DA3"/>
    <mergeCell ref="BC3:BN3"/>
    <mergeCell ref="AG4:AI4"/>
    <mergeCell ref="AJ4:AJ5"/>
    <mergeCell ref="AK4:AN4"/>
    <mergeCell ref="AP4:AS4"/>
    <mergeCell ref="A1:P1"/>
    <mergeCell ref="M2:P2"/>
    <mergeCell ref="A3:A5"/>
    <mergeCell ref="B3:B5"/>
    <mergeCell ref="C3:N3"/>
    <mergeCell ref="O3:O5"/>
    <mergeCell ref="P3:AA3"/>
  </mergeCells>
  <pageMargins left="0.75" right="0.75" top="0.98" bottom="0.98" header="0.51" footer="0.51"/>
  <pageSetup paperSize="9" scale="9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FE17-4A61-4602-B0F0-84686FEC2B8F}">
  <dimension ref="A1:W34"/>
  <sheetViews>
    <sheetView topLeftCell="C1" zoomScale="50" zoomScaleNormal="50" workbookViewId="0">
      <selection activeCell="M6" sqref="M6:M8"/>
    </sheetView>
  </sheetViews>
  <sheetFormatPr defaultRowHeight="18.75" x14ac:dyDescent="0.3"/>
  <cols>
    <col min="1" max="1" width="87.7109375" style="637" customWidth="1"/>
    <col min="2" max="2" width="23.42578125" style="638" customWidth="1"/>
    <col min="3" max="3" width="39.140625" style="639" customWidth="1"/>
    <col min="4" max="4" width="22.28515625" style="640" customWidth="1"/>
    <col min="5" max="5" width="29.7109375" style="641" customWidth="1"/>
    <col min="6" max="7" width="26.7109375" style="642" customWidth="1"/>
    <col min="8" max="8" width="29.28515625" style="642" customWidth="1"/>
    <col min="9" max="9" width="29.28515625" style="643" customWidth="1"/>
    <col min="10" max="10" width="88.140625" style="644" customWidth="1"/>
    <col min="11" max="11" width="28.7109375" style="645" customWidth="1"/>
    <col min="12" max="15" width="37.42578125" style="645" customWidth="1"/>
    <col min="16" max="16" width="22.28515625" style="644" customWidth="1"/>
    <col min="17" max="17" width="28.7109375" style="645" customWidth="1"/>
    <col min="18" max="18" width="29.85546875" style="645" customWidth="1"/>
    <col min="19" max="20" width="28.28515625" hidden="1" customWidth="1"/>
    <col min="21" max="21" width="32.85546875" hidden="1" customWidth="1"/>
    <col min="22" max="23" width="28.28515625" hidden="1" customWidth="1"/>
    <col min="262" max="262" width="66.85546875" customWidth="1"/>
    <col min="263" max="263" width="23.42578125" customWidth="1"/>
    <col min="264" max="264" width="48" customWidth="1"/>
    <col min="265" max="265" width="14.7109375" customWidth="1"/>
    <col min="266" max="266" width="29.7109375" customWidth="1"/>
    <col min="267" max="268" width="26.7109375" customWidth="1"/>
    <col min="269" max="269" width="29.28515625" customWidth="1"/>
    <col min="270" max="270" width="37.42578125" customWidth="1"/>
    <col min="518" max="518" width="66.85546875" customWidth="1"/>
    <col min="519" max="519" width="23.42578125" customWidth="1"/>
    <col min="520" max="520" width="48" customWidth="1"/>
    <col min="521" max="521" width="14.7109375" customWidth="1"/>
    <col min="522" max="522" width="29.7109375" customWidth="1"/>
    <col min="523" max="524" width="26.7109375" customWidth="1"/>
    <col min="525" max="525" width="29.28515625" customWidth="1"/>
    <col min="526" max="526" width="37.42578125" customWidth="1"/>
    <col min="774" max="774" width="66.85546875" customWidth="1"/>
    <col min="775" max="775" width="23.42578125" customWidth="1"/>
    <col min="776" max="776" width="48" customWidth="1"/>
    <col min="777" max="777" width="14.7109375" customWidth="1"/>
    <col min="778" max="778" width="29.7109375" customWidth="1"/>
    <col min="779" max="780" width="26.7109375" customWidth="1"/>
    <col min="781" max="781" width="29.28515625" customWidth="1"/>
    <col min="782" max="782" width="37.42578125" customWidth="1"/>
    <col min="1030" max="1030" width="66.85546875" customWidth="1"/>
    <col min="1031" max="1031" width="23.42578125" customWidth="1"/>
    <col min="1032" max="1032" width="48" customWidth="1"/>
    <col min="1033" max="1033" width="14.7109375" customWidth="1"/>
    <col min="1034" max="1034" width="29.7109375" customWidth="1"/>
    <col min="1035" max="1036" width="26.7109375" customWidth="1"/>
    <col min="1037" max="1037" width="29.28515625" customWidth="1"/>
    <col min="1038" max="1038" width="37.42578125" customWidth="1"/>
    <col min="1286" max="1286" width="66.85546875" customWidth="1"/>
    <col min="1287" max="1287" width="23.42578125" customWidth="1"/>
    <col min="1288" max="1288" width="48" customWidth="1"/>
    <col min="1289" max="1289" width="14.7109375" customWidth="1"/>
    <col min="1290" max="1290" width="29.7109375" customWidth="1"/>
    <col min="1291" max="1292" width="26.7109375" customWidth="1"/>
    <col min="1293" max="1293" width="29.28515625" customWidth="1"/>
    <col min="1294" max="1294" width="37.42578125" customWidth="1"/>
    <col min="1542" max="1542" width="66.85546875" customWidth="1"/>
    <col min="1543" max="1543" width="23.42578125" customWidth="1"/>
    <col min="1544" max="1544" width="48" customWidth="1"/>
    <col min="1545" max="1545" width="14.7109375" customWidth="1"/>
    <col min="1546" max="1546" width="29.7109375" customWidth="1"/>
    <col min="1547" max="1548" width="26.7109375" customWidth="1"/>
    <col min="1549" max="1549" width="29.28515625" customWidth="1"/>
    <col min="1550" max="1550" width="37.42578125" customWidth="1"/>
    <col min="1798" max="1798" width="66.85546875" customWidth="1"/>
    <col min="1799" max="1799" width="23.42578125" customWidth="1"/>
    <col min="1800" max="1800" width="48" customWidth="1"/>
    <col min="1801" max="1801" width="14.7109375" customWidth="1"/>
    <col min="1802" max="1802" width="29.7109375" customWidth="1"/>
    <col min="1803" max="1804" width="26.7109375" customWidth="1"/>
    <col min="1805" max="1805" width="29.28515625" customWidth="1"/>
    <col min="1806" max="1806" width="37.42578125" customWidth="1"/>
    <col min="2054" max="2054" width="66.85546875" customWidth="1"/>
    <col min="2055" max="2055" width="23.42578125" customWidth="1"/>
    <col min="2056" max="2056" width="48" customWidth="1"/>
    <col min="2057" max="2057" width="14.7109375" customWidth="1"/>
    <col min="2058" max="2058" width="29.7109375" customWidth="1"/>
    <col min="2059" max="2060" width="26.7109375" customWidth="1"/>
    <col min="2061" max="2061" width="29.28515625" customWidth="1"/>
    <col min="2062" max="2062" width="37.42578125" customWidth="1"/>
    <col min="2310" max="2310" width="66.85546875" customWidth="1"/>
    <col min="2311" max="2311" width="23.42578125" customWidth="1"/>
    <col min="2312" max="2312" width="48" customWidth="1"/>
    <col min="2313" max="2313" width="14.7109375" customWidth="1"/>
    <col min="2314" max="2314" width="29.7109375" customWidth="1"/>
    <col min="2315" max="2316" width="26.7109375" customWidth="1"/>
    <col min="2317" max="2317" width="29.28515625" customWidth="1"/>
    <col min="2318" max="2318" width="37.42578125" customWidth="1"/>
    <col min="2566" max="2566" width="66.85546875" customWidth="1"/>
    <col min="2567" max="2567" width="23.42578125" customWidth="1"/>
    <col min="2568" max="2568" width="48" customWidth="1"/>
    <col min="2569" max="2569" width="14.7109375" customWidth="1"/>
    <col min="2570" max="2570" width="29.7109375" customWidth="1"/>
    <col min="2571" max="2572" width="26.7109375" customWidth="1"/>
    <col min="2573" max="2573" width="29.28515625" customWidth="1"/>
    <col min="2574" max="2574" width="37.42578125" customWidth="1"/>
    <col min="2822" max="2822" width="66.85546875" customWidth="1"/>
    <col min="2823" max="2823" width="23.42578125" customWidth="1"/>
    <col min="2824" max="2824" width="48" customWidth="1"/>
    <col min="2825" max="2825" width="14.7109375" customWidth="1"/>
    <col min="2826" max="2826" width="29.7109375" customWidth="1"/>
    <col min="2827" max="2828" width="26.7109375" customWidth="1"/>
    <col min="2829" max="2829" width="29.28515625" customWidth="1"/>
    <col min="2830" max="2830" width="37.42578125" customWidth="1"/>
    <col min="3078" max="3078" width="66.85546875" customWidth="1"/>
    <col min="3079" max="3079" width="23.42578125" customWidth="1"/>
    <col min="3080" max="3080" width="48" customWidth="1"/>
    <col min="3081" max="3081" width="14.7109375" customWidth="1"/>
    <col min="3082" max="3082" width="29.7109375" customWidth="1"/>
    <col min="3083" max="3084" width="26.7109375" customWidth="1"/>
    <col min="3085" max="3085" width="29.28515625" customWidth="1"/>
    <col min="3086" max="3086" width="37.42578125" customWidth="1"/>
    <col min="3334" max="3334" width="66.85546875" customWidth="1"/>
    <col min="3335" max="3335" width="23.42578125" customWidth="1"/>
    <col min="3336" max="3336" width="48" customWidth="1"/>
    <col min="3337" max="3337" width="14.7109375" customWidth="1"/>
    <col min="3338" max="3338" width="29.7109375" customWidth="1"/>
    <col min="3339" max="3340" width="26.7109375" customWidth="1"/>
    <col min="3341" max="3341" width="29.28515625" customWidth="1"/>
    <col min="3342" max="3342" width="37.42578125" customWidth="1"/>
    <col min="3590" max="3590" width="66.85546875" customWidth="1"/>
    <col min="3591" max="3591" width="23.42578125" customWidth="1"/>
    <col min="3592" max="3592" width="48" customWidth="1"/>
    <col min="3593" max="3593" width="14.7109375" customWidth="1"/>
    <col min="3594" max="3594" width="29.7109375" customWidth="1"/>
    <col min="3595" max="3596" width="26.7109375" customWidth="1"/>
    <col min="3597" max="3597" width="29.28515625" customWidth="1"/>
    <col min="3598" max="3598" width="37.42578125" customWidth="1"/>
    <col min="3846" max="3846" width="66.85546875" customWidth="1"/>
    <col min="3847" max="3847" width="23.42578125" customWidth="1"/>
    <col min="3848" max="3848" width="48" customWidth="1"/>
    <col min="3849" max="3849" width="14.7109375" customWidth="1"/>
    <col min="3850" max="3850" width="29.7109375" customWidth="1"/>
    <col min="3851" max="3852" width="26.7109375" customWidth="1"/>
    <col min="3853" max="3853" width="29.28515625" customWidth="1"/>
    <col min="3854" max="3854" width="37.42578125" customWidth="1"/>
    <col min="4102" max="4102" width="66.85546875" customWidth="1"/>
    <col min="4103" max="4103" width="23.42578125" customWidth="1"/>
    <col min="4104" max="4104" width="48" customWidth="1"/>
    <col min="4105" max="4105" width="14.7109375" customWidth="1"/>
    <col min="4106" max="4106" width="29.7109375" customWidth="1"/>
    <col min="4107" max="4108" width="26.7109375" customWidth="1"/>
    <col min="4109" max="4109" width="29.28515625" customWidth="1"/>
    <col min="4110" max="4110" width="37.42578125" customWidth="1"/>
    <col min="4358" max="4358" width="66.85546875" customWidth="1"/>
    <col min="4359" max="4359" width="23.42578125" customWidth="1"/>
    <col min="4360" max="4360" width="48" customWidth="1"/>
    <col min="4361" max="4361" width="14.7109375" customWidth="1"/>
    <col min="4362" max="4362" width="29.7109375" customWidth="1"/>
    <col min="4363" max="4364" width="26.7109375" customWidth="1"/>
    <col min="4365" max="4365" width="29.28515625" customWidth="1"/>
    <col min="4366" max="4366" width="37.42578125" customWidth="1"/>
    <col min="4614" max="4614" width="66.85546875" customWidth="1"/>
    <col min="4615" max="4615" width="23.42578125" customWidth="1"/>
    <col min="4616" max="4616" width="48" customWidth="1"/>
    <col min="4617" max="4617" width="14.7109375" customWidth="1"/>
    <col min="4618" max="4618" width="29.7109375" customWidth="1"/>
    <col min="4619" max="4620" width="26.7109375" customWidth="1"/>
    <col min="4621" max="4621" width="29.28515625" customWidth="1"/>
    <col min="4622" max="4622" width="37.42578125" customWidth="1"/>
    <col min="4870" max="4870" width="66.85546875" customWidth="1"/>
    <col min="4871" max="4871" width="23.42578125" customWidth="1"/>
    <col min="4872" max="4872" width="48" customWidth="1"/>
    <col min="4873" max="4873" width="14.7109375" customWidth="1"/>
    <col min="4874" max="4874" width="29.7109375" customWidth="1"/>
    <col min="4875" max="4876" width="26.7109375" customWidth="1"/>
    <col min="4877" max="4877" width="29.28515625" customWidth="1"/>
    <col min="4878" max="4878" width="37.42578125" customWidth="1"/>
    <col min="5126" max="5126" width="66.85546875" customWidth="1"/>
    <col min="5127" max="5127" width="23.42578125" customWidth="1"/>
    <col min="5128" max="5128" width="48" customWidth="1"/>
    <col min="5129" max="5129" width="14.7109375" customWidth="1"/>
    <col min="5130" max="5130" width="29.7109375" customWidth="1"/>
    <col min="5131" max="5132" width="26.7109375" customWidth="1"/>
    <col min="5133" max="5133" width="29.28515625" customWidth="1"/>
    <col min="5134" max="5134" width="37.42578125" customWidth="1"/>
    <col min="5382" max="5382" width="66.85546875" customWidth="1"/>
    <col min="5383" max="5383" width="23.42578125" customWidth="1"/>
    <col min="5384" max="5384" width="48" customWidth="1"/>
    <col min="5385" max="5385" width="14.7109375" customWidth="1"/>
    <col min="5386" max="5386" width="29.7109375" customWidth="1"/>
    <col min="5387" max="5388" width="26.7109375" customWidth="1"/>
    <col min="5389" max="5389" width="29.28515625" customWidth="1"/>
    <col min="5390" max="5390" width="37.42578125" customWidth="1"/>
    <col min="5638" max="5638" width="66.85546875" customWidth="1"/>
    <col min="5639" max="5639" width="23.42578125" customWidth="1"/>
    <col min="5640" max="5640" width="48" customWidth="1"/>
    <col min="5641" max="5641" width="14.7109375" customWidth="1"/>
    <col min="5642" max="5642" width="29.7109375" customWidth="1"/>
    <col min="5643" max="5644" width="26.7109375" customWidth="1"/>
    <col min="5645" max="5645" width="29.28515625" customWidth="1"/>
    <col min="5646" max="5646" width="37.42578125" customWidth="1"/>
    <col min="5894" max="5894" width="66.85546875" customWidth="1"/>
    <col min="5895" max="5895" width="23.42578125" customWidth="1"/>
    <col min="5896" max="5896" width="48" customWidth="1"/>
    <col min="5897" max="5897" width="14.7109375" customWidth="1"/>
    <col min="5898" max="5898" width="29.7109375" customWidth="1"/>
    <col min="5899" max="5900" width="26.7109375" customWidth="1"/>
    <col min="5901" max="5901" width="29.28515625" customWidth="1"/>
    <col min="5902" max="5902" width="37.42578125" customWidth="1"/>
    <col min="6150" max="6150" width="66.85546875" customWidth="1"/>
    <col min="6151" max="6151" width="23.42578125" customWidth="1"/>
    <col min="6152" max="6152" width="48" customWidth="1"/>
    <col min="6153" max="6153" width="14.7109375" customWidth="1"/>
    <col min="6154" max="6154" width="29.7109375" customWidth="1"/>
    <col min="6155" max="6156" width="26.7109375" customWidth="1"/>
    <col min="6157" max="6157" width="29.28515625" customWidth="1"/>
    <col min="6158" max="6158" width="37.42578125" customWidth="1"/>
    <col min="6406" max="6406" width="66.85546875" customWidth="1"/>
    <col min="6407" max="6407" width="23.42578125" customWidth="1"/>
    <col min="6408" max="6408" width="48" customWidth="1"/>
    <col min="6409" max="6409" width="14.7109375" customWidth="1"/>
    <col min="6410" max="6410" width="29.7109375" customWidth="1"/>
    <col min="6411" max="6412" width="26.7109375" customWidth="1"/>
    <col min="6413" max="6413" width="29.28515625" customWidth="1"/>
    <col min="6414" max="6414" width="37.42578125" customWidth="1"/>
    <col min="6662" max="6662" width="66.85546875" customWidth="1"/>
    <col min="6663" max="6663" width="23.42578125" customWidth="1"/>
    <col min="6664" max="6664" width="48" customWidth="1"/>
    <col min="6665" max="6665" width="14.7109375" customWidth="1"/>
    <col min="6666" max="6666" width="29.7109375" customWidth="1"/>
    <col min="6667" max="6668" width="26.7109375" customWidth="1"/>
    <col min="6669" max="6669" width="29.28515625" customWidth="1"/>
    <col min="6670" max="6670" width="37.42578125" customWidth="1"/>
    <col min="6918" max="6918" width="66.85546875" customWidth="1"/>
    <col min="6919" max="6919" width="23.42578125" customWidth="1"/>
    <col min="6920" max="6920" width="48" customWidth="1"/>
    <col min="6921" max="6921" width="14.7109375" customWidth="1"/>
    <col min="6922" max="6922" width="29.7109375" customWidth="1"/>
    <col min="6923" max="6924" width="26.7109375" customWidth="1"/>
    <col min="6925" max="6925" width="29.28515625" customWidth="1"/>
    <col min="6926" max="6926" width="37.42578125" customWidth="1"/>
    <col min="7174" max="7174" width="66.85546875" customWidth="1"/>
    <col min="7175" max="7175" width="23.42578125" customWidth="1"/>
    <col min="7176" max="7176" width="48" customWidth="1"/>
    <col min="7177" max="7177" width="14.7109375" customWidth="1"/>
    <col min="7178" max="7178" width="29.7109375" customWidth="1"/>
    <col min="7179" max="7180" width="26.7109375" customWidth="1"/>
    <col min="7181" max="7181" width="29.28515625" customWidth="1"/>
    <col min="7182" max="7182" width="37.42578125" customWidth="1"/>
    <col min="7430" max="7430" width="66.85546875" customWidth="1"/>
    <col min="7431" max="7431" width="23.42578125" customWidth="1"/>
    <col min="7432" max="7432" width="48" customWidth="1"/>
    <col min="7433" max="7433" width="14.7109375" customWidth="1"/>
    <col min="7434" max="7434" width="29.7109375" customWidth="1"/>
    <col min="7435" max="7436" width="26.7109375" customWidth="1"/>
    <col min="7437" max="7437" width="29.28515625" customWidth="1"/>
    <col min="7438" max="7438" width="37.42578125" customWidth="1"/>
    <col min="7686" max="7686" width="66.85546875" customWidth="1"/>
    <col min="7687" max="7687" width="23.42578125" customWidth="1"/>
    <col min="7688" max="7688" width="48" customWidth="1"/>
    <col min="7689" max="7689" width="14.7109375" customWidth="1"/>
    <col min="7690" max="7690" width="29.7109375" customWidth="1"/>
    <col min="7691" max="7692" width="26.7109375" customWidth="1"/>
    <col min="7693" max="7693" width="29.28515625" customWidth="1"/>
    <col min="7694" max="7694" width="37.42578125" customWidth="1"/>
    <col min="7942" max="7942" width="66.85546875" customWidth="1"/>
    <col min="7943" max="7943" width="23.42578125" customWidth="1"/>
    <col min="7944" max="7944" width="48" customWidth="1"/>
    <col min="7945" max="7945" width="14.7109375" customWidth="1"/>
    <col min="7946" max="7946" width="29.7109375" customWidth="1"/>
    <col min="7947" max="7948" width="26.7109375" customWidth="1"/>
    <col min="7949" max="7949" width="29.28515625" customWidth="1"/>
    <col min="7950" max="7950" width="37.42578125" customWidth="1"/>
    <col min="8198" max="8198" width="66.85546875" customWidth="1"/>
    <col min="8199" max="8199" width="23.42578125" customWidth="1"/>
    <col min="8200" max="8200" width="48" customWidth="1"/>
    <col min="8201" max="8201" width="14.7109375" customWidth="1"/>
    <col min="8202" max="8202" width="29.7109375" customWidth="1"/>
    <col min="8203" max="8204" width="26.7109375" customWidth="1"/>
    <col min="8205" max="8205" width="29.28515625" customWidth="1"/>
    <col min="8206" max="8206" width="37.42578125" customWidth="1"/>
    <col min="8454" max="8454" width="66.85546875" customWidth="1"/>
    <col min="8455" max="8455" width="23.42578125" customWidth="1"/>
    <col min="8456" max="8456" width="48" customWidth="1"/>
    <col min="8457" max="8457" width="14.7109375" customWidth="1"/>
    <col min="8458" max="8458" width="29.7109375" customWidth="1"/>
    <col min="8459" max="8460" width="26.7109375" customWidth="1"/>
    <col min="8461" max="8461" width="29.28515625" customWidth="1"/>
    <col min="8462" max="8462" width="37.42578125" customWidth="1"/>
    <col min="8710" max="8710" width="66.85546875" customWidth="1"/>
    <col min="8711" max="8711" width="23.42578125" customWidth="1"/>
    <col min="8712" max="8712" width="48" customWidth="1"/>
    <col min="8713" max="8713" width="14.7109375" customWidth="1"/>
    <col min="8714" max="8714" width="29.7109375" customWidth="1"/>
    <col min="8715" max="8716" width="26.7109375" customWidth="1"/>
    <col min="8717" max="8717" width="29.28515625" customWidth="1"/>
    <col min="8718" max="8718" width="37.42578125" customWidth="1"/>
    <col min="8966" max="8966" width="66.85546875" customWidth="1"/>
    <col min="8967" max="8967" width="23.42578125" customWidth="1"/>
    <col min="8968" max="8968" width="48" customWidth="1"/>
    <col min="8969" max="8969" width="14.7109375" customWidth="1"/>
    <col min="8970" max="8970" width="29.7109375" customWidth="1"/>
    <col min="8971" max="8972" width="26.7109375" customWidth="1"/>
    <col min="8973" max="8973" width="29.28515625" customWidth="1"/>
    <col min="8974" max="8974" width="37.42578125" customWidth="1"/>
    <col min="9222" max="9222" width="66.85546875" customWidth="1"/>
    <col min="9223" max="9223" width="23.42578125" customWidth="1"/>
    <col min="9224" max="9224" width="48" customWidth="1"/>
    <col min="9225" max="9225" width="14.7109375" customWidth="1"/>
    <col min="9226" max="9226" width="29.7109375" customWidth="1"/>
    <col min="9227" max="9228" width="26.7109375" customWidth="1"/>
    <col min="9229" max="9229" width="29.28515625" customWidth="1"/>
    <col min="9230" max="9230" width="37.42578125" customWidth="1"/>
    <col min="9478" max="9478" width="66.85546875" customWidth="1"/>
    <col min="9479" max="9479" width="23.42578125" customWidth="1"/>
    <col min="9480" max="9480" width="48" customWidth="1"/>
    <col min="9481" max="9481" width="14.7109375" customWidth="1"/>
    <col min="9482" max="9482" width="29.7109375" customWidth="1"/>
    <col min="9483" max="9484" width="26.7109375" customWidth="1"/>
    <col min="9485" max="9485" width="29.28515625" customWidth="1"/>
    <col min="9486" max="9486" width="37.42578125" customWidth="1"/>
    <col min="9734" max="9734" width="66.85546875" customWidth="1"/>
    <col min="9735" max="9735" width="23.42578125" customWidth="1"/>
    <col min="9736" max="9736" width="48" customWidth="1"/>
    <col min="9737" max="9737" width="14.7109375" customWidth="1"/>
    <col min="9738" max="9738" width="29.7109375" customWidth="1"/>
    <col min="9739" max="9740" width="26.7109375" customWidth="1"/>
    <col min="9741" max="9741" width="29.28515625" customWidth="1"/>
    <col min="9742" max="9742" width="37.42578125" customWidth="1"/>
    <col min="9990" max="9990" width="66.85546875" customWidth="1"/>
    <col min="9991" max="9991" width="23.42578125" customWidth="1"/>
    <col min="9992" max="9992" width="48" customWidth="1"/>
    <col min="9993" max="9993" width="14.7109375" customWidth="1"/>
    <col min="9994" max="9994" width="29.7109375" customWidth="1"/>
    <col min="9995" max="9996" width="26.7109375" customWidth="1"/>
    <col min="9997" max="9997" width="29.28515625" customWidth="1"/>
    <col min="9998" max="9998" width="37.42578125" customWidth="1"/>
    <col min="10246" max="10246" width="66.85546875" customWidth="1"/>
    <col min="10247" max="10247" width="23.42578125" customWidth="1"/>
    <col min="10248" max="10248" width="48" customWidth="1"/>
    <col min="10249" max="10249" width="14.7109375" customWidth="1"/>
    <col min="10250" max="10250" width="29.7109375" customWidth="1"/>
    <col min="10251" max="10252" width="26.7109375" customWidth="1"/>
    <col min="10253" max="10253" width="29.28515625" customWidth="1"/>
    <col min="10254" max="10254" width="37.42578125" customWidth="1"/>
    <col min="10502" max="10502" width="66.85546875" customWidth="1"/>
    <col min="10503" max="10503" width="23.42578125" customWidth="1"/>
    <col min="10504" max="10504" width="48" customWidth="1"/>
    <col min="10505" max="10505" width="14.7109375" customWidth="1"/>
    <col min="10506" max="10506" width="29.7109375" customWidth="1"/>
    <col min="10507" max="10508" width="26.7109375" customWidth="1"/>
    <col min="10509" max="10509" width="29.28515625" customWidth="1"/>
    <col min="10510" max="10510" width="37.42578125" customWidth="1"/>
    <col min="10758" max="10758" width="66.85546875" customWidth="1"/>
    <col min="10759" max="10759" width="23.42578125" customWidth="1"/>
    <col min="10760" max="10760" width="48" customWidth="1"/>
    <col min="10761" max="10761" width="14.7109375" customWidth="1"/>
    <col min="10762" max="10762" width="29.7109375" customWidth="1"/>
    <col min="10763" max="10764" width="26.7109375" customWidth="1"/>
    <col min="10765" max="10765" width="29.28515625" customWidth="1"/>
    <col min="10766" max="10766" width="37.42578125" customWidth="1"/>
    <col min="11014" max="11014" width="66.85546875" customWidth="1"/>
    <col min="11015" max="11015" width="23.42578125" customWidth="1"/>
    <col min="11016" max="11016" width="48" customWidth="1"/>
    <col min="11017" max="11017" width="14.7109375" customWidth="1"/>
    <col min="11018" max="11018" width="29.7109375" customWidth="1"/>
    <col min="11019" max="11020" width="26.7109375" customWidth="1"/>
    <col min="11021" max="11021" width="29.28515625" customWidth="1"/>
    <col min="11022" max="11022" width="37.42578125" customWidth="1"/>
    <col min="11270" max="11270" width="66.85546875" customWidth="1"/>
    <col min="11271" max="11271" width="23.42578125" customWidth="1"/>
    <col min="11272" max="11272" width="48" customWidth="1"/>
    <col min="11273" max="11273" width="14.7109375" customWidth="1"/>
    <col min="11274" max="11274" width="29.7109375" customWidth="1"/>
    <col min="11275" max="11276" width="26.7109375" customWidth="1"/>
    <col min="11277" max="11277" width="29.28515625" customWidth="1"/>
    <col min="11278" max="11278" width="37.42578125" customWidth="1"/>
    <col min="11526" max="11526" width="66.85546875" customWidth="1"/>
    <col min="11527" max="11527" width="23.42578125" customWidth="1"/>
    <col min="11528" max="11528" width="48" customWidth="1"/>
    <col min="11529" max="11529" width="14.7109375" customWidth="1"/>
    <col min="11530" max="11530" width="29.7109375" customWidth="1"/>
    <col min="11531" max="11532" width="26.7109375" customWidth="1"/>
    <col min="11533" max="11533" width="29.28515625" customWidth="1"/>
    <col min="11534" max="11534" width="37.42578125" customWidth="1"/>
    <col min="11782" max="11782" width="66.85546875" customWidth="1"/>
    <col min="11783" max="11783" width="23.42578125" customWidth="1"/>
    <col min="11784" max="11784" width="48" customWidth="1"/>
    <col min="11785" max="11785" width="14.7109375" customWidth="1"/>
    <col min="11786" max="11786" width="29.7109375" customWidth="1"/>
    <col min="11787" max="11788" width="26.7109375" customWidth="1"/>
    <col min="11789" max="11789" width="29.28515625" customWidth="1"/>
    <col min="11790" max="11790" width="37.42578125" customWidth="1"/>
    <col min="12038" max="12038" width="66.85546875" customWidth="1"/>
    <col min="12039" max="12039" width="23.42578125" customWidth="1"/>
    <col min="12040" max="12040" width="48" customWidth="1"/>
    <col min="12041" max="12041" width="14.7109375" customWidth="1"/>
    <col min="12042" max="12042" width="29.7109375" customWidth="1"/>
    <col min="12043" max="12044" width="26.7109375" customWidth="1"/>
    <col min="12045" max="12045" width="29.28515625" customWidth="1"/>
    <col min="12046" max="12046" width="37.42578125" customWidth="1"/>
    <col min="12294" max="12294" width="66.85546875" customWidth="1"/>
    <col min="12295" max="12295" width="23.42578125" customWidth="1"/>
    <col min="12296" max="12296" width="48" customWidth="1"/>
    <col min="12297" max="12297" width="14.7109375" customWidth="1"/>
    <col min="12298" max="12298" width="29.7109375" customWidth="1"/>
    <col min="12299" max="12300" width="26.7109375" customWidth="1"/>
    <col min="12301" max="12301" width="29.28515625" customWidth="1"/>
    <col min="12302" max="12302" width="37.42578125" customWidth="1"/>
    <col min="12550" max="12550" width="66.85546875" customWidth="1"/>
    <col min="12551" max="12551" width="23.42578125" customWidth="1"/>
    <col min="12552" max="12552" width="48" customWidth="1"/>
    <col min="12553" max="12553" width="14.7109375" customWidth="1"/>
    <col min="12554" max="12554" width="29.7109375" customWidth="1"/>
    <col min="12555" max="12556" width="26.7109375" customWidth="1"/>
    <col min="12557" max="12557" width="29.28515625" customWidth="1"/>
    <col min="12558" max="12558" width="37.42578125" customWidth="1"/>
    <col min="12806" max="12806" width="66.85546875" customWidth="1"/>
    <col min="12807" max="12807" width="23.42578125" customWidth="1"/>
    <col min="12808" max="12808" width="48" customWidth="1"/>
    <col min="12809" max="12809" width="14.7109375" customWidth="1"/>
    <col min="12810" max="12810" width="29.7109375" customWidth="1"/>
    <col min="12811" max="12812" width="26.7109375" customWidth="1"/>
    <col min="12813" max="12813" width="29.28515625" customWidth="1"/>
    <col min="12814" max="12814" width="37.42578125" customWidth="1"/>
    <col min="13062" max="13062" width="66.85546875" customWidth="1"/>
    <col min="13063" max="13063" width="23.42578125" customWidth="1"/>
    <col min="13064" max="13064" width="48" customWidth="1"/>
    <col min="13065" max="13065" width="14.7109375" customWidth="1"/>
    <col min="13066" max="13066" width="29.7109375" customWidth="1"/>
    <col min="13067" max="13068" width="26.7109375" customWidth="1"/>
    <col min="13069" max="13069" width="29.28515625" customWidth="1"/>
    <col min="13070" max="13070" width="37.42578125" customWidth="1"/>
    <col min="13318" max="13318" width="66.85546875" customWidth="1"/>
    <col min="13319" max="13319" width="23.42578125" customWidth="1"/>
    <col min="13320" max="13320" width="48" customWidth="1"/>
    <col min="13321" max="13321" width="14.7109375" customWidth="1"/>
    <col min="13322" max="13322" width="29.7109375" customWidth="1"/>
    <col min="13323" max="13324" width="26.7109375" customWidth="1"/>
    <col min="13325" max="13325" width="29.28515625" customWidth="1"/>
    <col min="13326" max="13326" width="37.42578125" customWidth="1"/>
    <col min="13574" max="13574" width="66.85546875" customWidth="1"/>
    <col min="13575" max="13575" width="23.42578125" customWidth="1"/>
    <col min="13576" max="13576" width="48" customWidth="1"/>
    <col min="13577" max="13577" width="14.7109375" customWidth="1"/>
    <col min="13578" max="13578" width="29.7109375" customWidth="1"/>
    <col min="13579" max="13580" width="26.7109375" customWidth="1"/>
    <col min="13581" max="13581" width="29.28515625" customWidth="1"/>
    <col min="13582" max="13582" width="37.42578125" customWidth="1"/>
    <col min="13830" max="13830" width="66.85546875" customWidth="1"/>
    <col min="13831" max="13831" width="23.42578125" customWidth="1"/>
    <col min="13832" max="13832" width="48" customWidth="1"/>
    <col min="13833" max="13833" width="14.7109375" customWidth="1"/>
    <col min="13834" max="13834" width="29.7109375" customWidth="1"/>
    <col min="13835" max="13836" width="26.7109375" customWidth="1"/>
    <col min="13837" max="13837" width="29.28515625" customWidth="1"/>
    <col min="13838" max="13838" width="37.42578125" customWidth="1"/>
    <col min="14086" max="14086" width="66.85546875" customWidth="1"/>
    <col min="14087" max="14087" width="23.42578125" customWidth="1"/>
    <col min="14088" max="14088" width="48" customWidth="1"/>
    <col min="14089" max="14089" width="14.7109375" customWidth="1"/>
    <col min="14090" max="14090" width="29.7109375" customWidth="1"/>
    <col min="14091" max="14092" width="26.7109375" customWidth="1"/>
    <col min="14093" max="14093" width="29.28515625" customWidth="1"/>
    <col min="14094" max="14094" width="37.42578125" customWidth="1"/>
    <col min="14342" max="14342" width="66.85546875" customWidth="1"/>
    <col min="14343" max="14343" width="23.42578125" customWidth="1"/>
    <col min="14344" max="14344" width="48" customWidth="1"/>
    <col min="14345" max="14345" width="14.7109375" customWidth="1"/>
    <col min="14346" max="14346" width="29.7109375" customWidth="1"/>
    <col min="14347" max="14348" width="26.7109375" customWidth="1"/>
    <col min="14349" max="14349" width="29.28515625" customWidth="1"/>
    <col min="14350" max="14350" width="37.42578125" customWidth="1"/>
    <col min="14598" max="14598" width="66.85546875" customWidth="1"/>
    <col min="14599" max="14599" width="23.42578125" customWidth="1"/>
    <col min="14600" max="14600" width="48" customWidth="1"/>
    <col min="14601" max="14601" width="14.7109375" customWidth="1"/>
    <col min="14602" max="14602" width="29.7109375" customWidth="1"/>
    <col min="14603" max="14604" width="26.7109375" customWidth="1"/>
    <col min="14605" max="14605" width="29.28515625" customWidth="1"/>
    <col min="14606" max="14606" width="37.42578125" customWidth="1"/>
    <col min="14854" max="14854" width="66.85546875" customWidth="1"/>
    <col min="14855" max="14855" width="23.42578125" customWidth="1"/>
    <col min="14856" max="14856" width="48" customWidth="1"/>
    <col min="14857" max="14857" width="14.7109375" customWidth="1"/>
    <col min="14858" max="14858" width="29.7109375" customWidth="1"/>
    <col min="14859" max="14860" width="26.7109375" customWidth="1"/>
    <col min="14861" max="14861" width="29.28515625" customWidth="1"/>
    <col min="14862" max="14862" width="37.42578125" customWidth="1"/>
    <col min="15110" max="15110" width="66.85546875" customWidth="1"/>
    <col min="15111" max="15111" width="23.42578125" customWidth="1"/>
    <col min="15112" max="15112" width="48" customWidth="1"/>
    <col min="15113" max="15113" width="14.7109375" customWidth="1"/>
    <col min="15114" max="15114" width="29.7109375" customWidth="1"/>
    <col min="15115" max="15116" width="26.7109375" customWidth="1"/>
    <col min="15117" max="15117" width="29.28515625" customWidth="1"/>
    <col min="15118" max="15118" width="37.42578125" customWidth="1"/>
    <col min="15366" max="15366" width="66.85546875" customWidth="1"/>
    <col min="15367" max="15367" width="23.42578125" customWidth="1"/>
    <col min="15368" max="15368" width="48" customWidth="1"/>
    <col min="15369" max="15369" width="14.7109375" customWidth="1"/>
    <col min="15370" max="15370" width="29.7109375" customWidth="1"/>
    <col min="15371" max="15372" width="26.7109375" customWidth="1"/>
    <col min="15373" max="15373" width="29.28515625" customWidth="1"/>
    <col min="15374" max="15374" width="37.42578125" customWidth="1"/>
    <col min="15622" max="15622" width="66.85546875" customWidth="1"/>
    <col min="15623" max="15623" width="23.42578125" customWidth="1"/>
    <col min="15624" max="15624" width="48" customWidth="1"/>
    <col min="15625" max="15625" width="14.7109375" customWidth="1"/>
    <col min="15626" max="15626" width="29.7109375" customWidth="1"/>
    <col min="15627" max="15628" width="26.7109375" customWidth="1"/>
    <col min="15629" max="15629" width="29.28515625" customWidth="1"/>
    <col min="15630" max="15630" width="37.42578125" customWidth="1"/>
    <col min="15878" max="15878" width="66.85546875" customWidth="1"/>
    <col min="15879" max="15879" width="23.42578125" customWidth="1"/>
    <col min="15880" max="15880" width="48" customWidth="1"/>
    <col min="15881" max="15881" width="14.7109375" customWidth="1"/>
    <col min="15882" max="15882" width="29.7109375" customWidth="1"/>
    <col min="15883" max="15884" width="26.7109375" customWidth="1"/>
    <col min="15885" max="15885" width="29.28515625" customWidth="1"/>
    <col min="15886" max="15886" width="37.42578125" customWidth="1"/>
    <col min="16134" max="16134" width="66.85546875" customWidth="1"/>
    <col min="16135" max="16135" width="23.42578125" customWidth="1"/>
    <col min="16136" max="16136" width="48" customWidth="1"/>
    <col min="16137" max="16137" width="14.7109375" customWidth="1"/>
    <col min="16138" max="16138" width="29.7109375" customWidth="1"/>
    <col min="16139" max="16140" width="26.7109375" customWidth="1"/>
    <col min="16141" max="16141" width="29.28515625" customWidth="1"/>
    <col min="16142" max="16142" width="37.42578125" customWidth="1"/>
  </cols>
  <sheetData>
    <row r="1" spans="1:23" ht="20.25" x14ac:dyDescent="0.3">
      <c r="A1" s="575"/>
      <c r="B1" s="575"/>
      <c r="C1" s="575"/>
      <c r="D1" s="575"/>
      <c r="E1" s="576"/>
      <c r="F1" s="577"/>
      <c r="G1" s="577"/>
      <c r="H1" s="577"/>
      <c r="I1" s="578"/>
      <c r="J1" s="579"/>
      <c r="K1" s="578"/>
      <c r="L1" s="578"/>
      <c r="M1" s="578"/>
      <c r="N1" s="578"/>
      <c r="O1" s="578"/>
      <c r="P1" s="579"/>
      <c r="Q1" s="578"/>
      <c r="R1" s="578"/>
    </row>
    <row r="2" spans="1:23" ht="30" x14ac:dyDescent="0.2">
      <c r="A2" s="1421" t="s">
        <v>576</v>
      </c>
      <c r="B2" s="1421"/>
      <c r="C2" s="1421"/>
      <c r="D2" s="1421"/>
      <c r="E2" s="1421"/>
      <c r="F2" s="1421"/>
      <c r="G2" s="1421"/>
      <c r="H2" s="1421"/>
      <c r="I2" s="1421"/>
      <c r="J2" s="580"/>
      <c r="K2" s="580"/>
      <c r="L2" s="580"/>
      <c r="M2" s="580"/>
      <c r="N2" s="580"/>
      <c r="O2" s="580"/>
      <c r="P2" s="580"/>
      <c r="Q2" s="580"/>
      <c r="R2" s="580"/>
    </row>
    <row r="3" spans="1:23" ht="30" x14ac:dyDescent="0.2">
      <c r="A3" s="580"/>
      <c r="B3" s="1422" t="s">
        <v>577</v>
      </c>
      <c r="C3" s="1422"/>
      <c r="D3" s="1422"/>
      <c r="E3" s="1422"/>
      <c r="F3" s="1422"/>
      <c r="G3" s="1422"/>
      <c r="H3" s="1422"/>
      <c r="I3" s="1422"/>
      <c r="J3" s="1422" t="s">
        <v>578</v>
      </c>
      <c r="K3" s="1422"/>
      <c r="L3" s="1422"/>
      <c r="M3" s="1422"/>
      <c r="N3" s="1422"/>
      <c r="O3" s="1422"/>
      <c r="P3" s="1422"/>
      <c r="Q3" s="1422"/>
      <c r="R3" s="1422"/>
      <c r="S3" s="1422"/>
      <c r="T3" s="1422"/>
      <c r="U3" s="1422"/>
      <c r="V3" s="1422"/>
      <c r="W3" s="1422"/>
    </row>
    <row r="4" spans="1:23" s="588" customFormat="1" ht="139.5" x14ac:dyDescent="0.2">
      <c r="A4" s="119" t="s">
        <v>579</v>
      </c>
      <c r="B4" s="581" t="s">
        <v>580</v>
      </c>
      <c r="C4" s="581" t="s">
        <v>581</v>
      </c>
      <c r="D4" s="582" t="s">
        <v>582</v>
      </c>
      <c r="E4" s="581" t="s">
        <v>583</v>
      </c>
      <c r="F4" s="581" t="s">
        <v>584</v>
      </c>
      <c r="G4" s="581" t="s">
        <v>585</v>
      </c>
      <c r="H4" s="581" t="s">
        <v>586</v>
      </c>
      <c r="I4" s="583" t="s">
        <v>587</v>
      </c>
      <c r="J4" s="584" t="s">
        <v>579</v>
      </c>
      <c r="K4" s="584" t="s">
        <v>580</v>
      </c>
      <c r="L4" s="584" t="s">
        <v>581</v>
      </c>
      <c r="M4" s="585" t="s">
        <v>582</v>
      </c>
      <c r="N4" s="584" t="s">
        <v>583</v>
      </c>
      <c r="O4" s="584" t="s">
        <v>584</v>
      </c>
      <c r="P4" s="584" t="s">
        <v>585</v>
      </c>
      <c r="Q4" s="584" t="s">
        <v>586</v>
      </c>
      <c r="R4" s="586" t="s">
        <v>587</v>
      </c>
      <c r="S4" s="587" t="s">
        <v>588</v>
      </c>
      <c r="T4" s="587" t="s">
        <v>589</v>
      </c>
      <c r="U4" s="587" t="s">
        <v>590</v>
      </c>
      <c r="V4" s="587" t="s">
        <v>591</v>
      </c>
      <c r="W4" s="587" t="s">
        <v>592</v>
      </c>
    </row>
    <row r="5" spans="1:23" s="589" customFormat="1" ht="22.5" x14ac:dyDescent="0.2">
      <c r="A5" s="1423" t="s">
        <v>593</v>
      </c>
      <c r="B5" s="1424"/>
      <c r="C5" s="1424"/>
      <c r="D5" s="1424"/>
      <c r="E5" s="1424"/>
      <c r="F5" s="1424"/>
      <c r="G5" s="1424"/>
      <c r="H5" s="1424"/>
      <c r="I5" s="1424"/>
      <c r="J5" s="1424"/>
      <c r="K5" s="1424"/>
      <c r="L5" s="1424"/>
      <c r="M5" s="1424"/>
      <c r="N5" s="1424"/>
      <c r="O5" s="1424"/>
      <c r="P5" s="1424"/>
      <c r="Q5" s="1424"/>
      <c r="R5" s="1424"/>
    </row>
    <row r="6" spans="1:23" s="593" customFormat="1" ht="69.75" x14ac:dyDescent="0.35">
      <c r="A6" s="590" t="s">
        <v>594</v>
      </c>
      <c r="B6" s="1425" t="s">
        <v>595</v>
      </c>
      <c r="C6" s="1428" t="s">
        <v>596</v>
      </c>
      <c r="D6" s="1431">
        <v>550</v>
      </c>
      <c r="E6" s="1434" t="s">
        <v>597</v>
      </c>
      <c r="F6" s="1437">
        <v>31329725</v>
      </c>
      <c r="G6" s="1434" t="s">
        <v>598</v>
      </c>
      <c r="H6" s="1437">
        <f>+F6*0.3</f>
        <v>9398917.5</v>
      </c>
      <c r="I6" s="1451">
        <f>+H6*D6</f>
        <v>5169404625</v>
      </c>
      <c r="J6" s="591" t="s">
        <v>599</v>
      </c>
      <c r="K6" s="1454" t="s">
        <v>595</v>
      </c>
      <c r="L6" s="1457" t="s">
        <v>596</v>
      </c>
      <c r="M6" s="1454">
        <v>550</v>
      </c>
      <c r="N6" s="1454" t="s">
        <v>597</v>
      </c>
      <c r="O6" s="1443">
        <v>31329725</v>
      </c>
      <c r="P6" s="1446" t="s">
        <v>598</v>
      </c>
      <c r="Q6" s="1443">
        <f>+O6*0.3</f>
        <v>9398917.5</v>
      </c>
      <c r="R6" s="1443">
        <f>+Q6*M6</f>
        <v>5169404625</v>
      </c>
      <c r="S6" s="592"/>
      <c r="T6" s="592"/>
      <c r="U6" s="592"/>
      <c r="V6" s="592"/>
      <c r="W6" s="592"/>
    </row>
    <row r="7" spans="1:23" s="593" customFormat="1" ht="69.75" x14ac:dyDescent="0.2">
      <c r="A7" s="590" t="s">
        <v>600</v>
      </c>
      <c r="B7" s="1426"/>
      <c r="C7" s="1429"/>
      <c r="D7" s="1432"/>
      <c r="E7" s="1435"/>
      <c r="F7" s="1438"/>
      <c r="G7" s="1435"/>
      <c r="H7" s="1438"/>
      <c r="I7" s="1452"/>
      <c r="J7" s="1449" t="s">
        <v>601</v>
      </c>
      <c r="K7" s="1455"/>
      <c r="L7" s="1449"/>
      <c r="M7" s="1455"/>
      <c r="N7" s="1455"/>
      <c r="O7" s="1444"/>
      <c r="P7" s="1447"/>
      <c r="Q7" s="1444"/>
      <c r="R7" s="1444"/>
      <c r="S7" s="592"/>
      <c r="T7" s="592"/>
      <c r="U7" s="592"/>
      <c r="V7" s="592"/>
      <c r="W7" s="592"/>
    </row>
    <row r="8" spans="1:23" s="593" customFormat="1" ht="186" x14ac:dyDescent="0.2">
      <c r="A8" s="590" t="s">
        <v>602</v>
      </c>
      <c r="B8" s="1427"/>
      <c r="C8" s="1430"/>
      <c r="D8" s="1433"/>
      <c r="E8" s="1436"/>
      <c r="F8" s="1439"/>
      <c r="G8" s="1436"/>
      <c r="H8" s="1439"/>
      <c r="I8" s="1453"/>
      <c r="J8" s="1450"/>
      <c r="K8" s="1456"/>
      <c r="L8" s="1450"/>
      <c r="M8" s="1456"/>
      <c r="N8" s="1456"/>
      <c r="O8" s="1445"/>
      <c r="P8" s="1448"/>
      <c r="Q8" s="1445"/>
      <c r="R8" s="1445"/>
      <c r="S8" s="592"/>
      <c r="T8" s="592"/>
      <c r="U8" s="592"/>
      <c r="V8" s="592"/>
      <c r="W8" s="592"/>
    </row>
    <row r="9" spans="1:23" s="593" customFormat="1" ht="93" x14ac:dyDescent="0.35">
      <c r="A9" s="590" t="s">
        <v>603</v>
      </c>
      <c r="B9" s="594" t="s">
        <v>604</v>
      </c>
      <c r="C9" s="595" t="s">
        <v>605</v>
      </c>
      <c r="D9" s="596">
        <v>759.92</v>
      </c>
      <c r="E9" s="581" t="s">
        <v>597</v>
      </c>
      <c r="F9" s="597">
        <v>31329725</v>
      </c>
      <c r="G9" s="581" t="s">
        <v>598</v>
      </c>
      <c r="H9" s="597">
        <f>+F9*0.3</f>
        <v>9398917.5</v>
      </c>
      <c r="I9" s="598">
        <f>+H9*D9</f>
        <v>7142425386.5999994</v>
      </c>
      <c r="J9" s="599" t="s">
        <v>606</v>
      </c>
      <c r="K9" s="600" t="s">
        <v>604</v>
      </c>
      <c r="L9" s="601" t="s">
        <v>605</v>
      </c>
      <c r="M9" s="602">
        <v>759.92</v>
      </c>
      <c r="N9" s="584" t="s">
        <v>597</v>
      </c>
      <c r="O9" s="603">
        <v>31329725</v>
      </c>
      <c r="P9" s="586" t="s">
        <v>598</v>
      </c>
      <c r="Q9" s="604">
        <f>+O9*0.3</f>
        <v>9398917.5</v>
      </c>
      <c r="R9" s="604">
        <f>+Q9*M9</f>
        <v>7142425386.5999994</v>
      </c>
      <c r="S9" s="592"/>
      <c r="T9" s="592"/>
      <c r="U9" s="592"/>
      <c r="V9" s="592"/>
      <c r="W9" s="592"/>
    </row>
    <row r="10" spans="1:23" s="593" customFormat="1" ht="69.75" x14ac:dyDescent="0.2">
      <c r="A10" s="590" t="s">
        <v>607</v>
      </c>
      <c r="B10" s="594" t="s">
        <v>608</v>
      </c>
      <c r="C10" s="595" t="s">
        <v>609</v>
      </c>
      <c r="D10" s="596">
        <v>368.11</v>
      </c>
      <c r="E10" s="581" t="s">
        <v>597</v>
      </c>
      <c r="F10" s="597">
        <v>31329726</v>
      </c>
      <c r="G10" s="581" t="s">
        <v>598</v>
      </c>
      <c r="H10" s="597">
        <f>+F10*0.3</f>
        <v>9398917.7999999989</v>
      </c>
      <c r="I10" s="598">
        <f>+H10*D10</f>
        <v>3459835631.3579998</v>
      </c>
      <c r="J10" s="605" t="s">
        <v>609</v>
      </c>
      <c r="K10" s="600" t="s">
        <v>608</v>
      </c>
      <c r="L10" s="601" t="s">
        <v>609</v>
      </c>
      <c r="M10" s="602">
        <v>368.11</v>
      </c>
      <c r="N10" s="584" t="s">
        <v>597</v>
      </c>
      <c r="O10" s="603">
        <v>31329726</v>
      </c>
      <c r="P10" s="584" t="s">
        <v>598</v>
      </c>
      <c r="Q10" s="604">
        <f>+O10*0.3</f>
        <v>9398917.7999999989</v>
      </c>
      <c r="R10" s="604">
        <f>+Q10*M10</f>
        <v>3459835631.3579998</v>
      </c>
      <c r="S10" s="592"/>
      <c r="T10" s="592"/>
      <c r="U10" s="592"/>
      <c r="V10" s="592"/>
      <c r="W10" s="592"/>
    </row>
    <row r="11" spans="1:23" s="593" customFormat="1" ht="302.25" x14ac:dyDescent="0.35">
      <c r="A11" s="590"/>
      <c r="B11" s="594"/>
      <c r="C11" s="595"/>
      <c r="D11" s="596"/>
      <c r="E11" s="581"/>
      <c r="F11" s="597"/>
      <c r="G11" s="581"/>
      <c r="H11" s="597"/>
      <c r="I11" s="598"/>
      <c r="J11" s="599" t="s">
        <v>610</v>
      </c>
      <c r="K11" s="604" t="s">
        <v>611</v>
      </c>
      <c r="L11" s="605" t="s">
        <v>612</v>
      </c>
      <c r="M11" s="602">
        <v>768.97</v>
      </c>
      <c r="N11" s="604" t="s">
        <v>613</v>
      </c>
      <c r="O11" s="603">
        <v>8483005</v>
      </c>
      <c r="P11" s="584" t="s">
        <v>598</v>
      </c>
      <c r="Q11" s="604">
        <f>+O11*0.3</f>
        <v>2544901.5</v>
      </c>
      <c r="R11" s="604">
        <f>+Q11*M11</f>
        <v>1956952906.4550002</v>
      </c>
      <c r="S11" s="592"/>
      <c r="T11" s="592"/>
      <c r="U11" s="592"/>
      <c r="V11" s="592"/>
      <c r="W11" s="592"/>
    </row>
    <row r="12" spans="1:23" s="617" customFormat="1" ht="23.25" x14ac:dyDescent="0.2">
      <c r="A12" s="606" t="s">
        <v>614</v>
      </c>
      <c r="B12" s="607"/>
      <c r="C12" s="608"/>
      <c r="D12" s="609">
        <f>+D6+D9+D10</f>
        <v>1678.0300000000002</v>
      </c>
      <c r="E12" s="610"/>
      <c r="F12" s="611"/>
      <c r="G12" s="610"/>
      <c r="H12" s="611">
        <f>H10</f>
        <v>9398917.7999999989</v>
      </c>
      <c r="I12" s="612">
        <f>+I6+I9+I10</f>
        <v>15771665642.957998</v>
      </c>
      <c r="J12" s="613" t="s">
        <v>614</v>
      </c>
      <c r="K12" s="614"/>
      <c r="L12" s="614"/>
      <c r="M12" s="1269">
        <f>+M6+M9+M10+M11</f>
        <v>2447</v>
      </c>
      <c r="N12" s="614"/>
      <c r="O12" s="614"/>
      <c r="P12" s="613"/>
      <c r="Q12" s="614">
        <f>Q10</f>
        <v>9398917.7999999989</v>
      </c>
      <c r="R12" s="614">
        <f>+R11+R10+R9+R6</f>
        <v>17728618549.412998</v>
      </c>
      <c r="S12" s="615">
        <v>3876.1</v>
      </c>
      <c r="T12" s="616" t="e">
        <f>#REF!/S12</f>
        <v>#REF!</v>
      </c>
      <c r="U12" s="615">
        <f>17732944.7*1000</f>
        <v>17732944700</v>
      </c>
      <c r="V12" s="615">
        <v>4104</v>
      </c>
      <c r="W12" s="616">
        <f>U12/V12</f>
        <v>4320892.9580896683</v>
      </c>
    </row>
    <row r="13" spans="1:23" s="617" customFormat="1" ht="23.25" x14ac:dyDescent="0.2">
      <c r="A13" s="606" t="s">
        <v>615</v>
      </c>
      <c r="B13" s="607">
        <f>+B33</f>
        <v>1.1983525281704299</v>
      </c>
      <c r="C13" s="608"/>
      <c r="D13" s="609"/>
      <c r="E13" s="610"/>
      <c r="F13" s="611"/>
      <c r="G13" s="610"/>
      <c r="H13" s="611"/>
      <c r="I13" s="612">
        <f>+I12*B13</f>
        <v>18900015396.697426</v>
      </c>
      <c r="J13" s="613" t="s">
        <v>615</v>
      </c>
      <c r="K13" s="614"/>
      <c r="L13" s="614"/>
      <c r="M13" s="614"/>
      <c r="N13" s="614"/>
      <c r="O13" s="614"/>
      <c r="P13" s="613"/>
      <c r="Q13" s="614"/>
      <c r="R13" s="614">
        <f>+R12*B13</f>
        <v>21245134859.658245</v>
      </c>
      <c r="S13" s="618"/>
      <c r="T13" s="618"/>
      <c r="U13" s="615"/>
      <c r="V13" s="615"/>
      <c r="W13" s="618"/>
    </row>
    <row r="14" spans="1:23" s="617" customFormat="1" ht="23.25" x14ac:dyDescent="0.2">
      <c r="A14" s="1423" t="s">
        <v>616</v>
      </c>
      <c r="B14" s="1424"/>
      <c r="C14" s="1424"/>
      <c r="D14" s="1424"/>
      <c r="E14" s="1424"/>
      <c r="F14" s="1424"/>
      <c r="G14" s="1424"/>
      <c r="H14" s="1424"/>
      <c r="I14" s="1424"/>
      <c r="J14" s="1424"/>
      <c r="K14" s="1424"/>
      <c r="L14" s="1424"/>
      <c r="M14" s="1424"/>
      <c r="N14" s="1424"/>
      <c r="O14" s="1424"/>
      <c r="P14" s="1424"/>
      <c r="Q14" s="1424"/>
      <c r="R14" s="1424"/>
      <c r="S14" s="618"/>
      <c r="T14" s="618"/>
      <c r="U14" s="615"/>
      <c r="V14" s="615"/>
      <c r="W14" s="618"/>
    </row>
    <row r="15" spans="1:23" s="617" customFormat="1" ht="93" x14ac:dyDescent="0.2">
      <c r="A15" s="590" t="s">
        <v>617</v>
      </c>
      <c r="B15" s="594" t="s">
        <v>618</v>
      </c>
      <c r="C15" s="595" t="s">
        <v>619</v>
      </c>
      <c r="D15" s="596">
        <v>325.33999999999997</v>
      </c>
      <c r="E15" s="581" t="s">
        <v>620</v>
      </c>
      <c r="F15" s="619">
        <v>7336635</v>
      </c>
      <c r="G15" s="620">
        <f>+H15/F15</f>
        <v>0.63206170131129602</v>
      </c>
      <c r="H15" s="597">
        <v>4637206</v>
      </c>
      <c r="I15" s="598">
        <f>+H15*D15</f>
        <v>1508668600.04</v>
      </c>
      <c r="J15" s="605" t="s">
        <v>621</v>
      </c>
      <c r="K15" s="604" t="s">
        <v>622</v>
      </c>
      <c r="L15" s="601" t="s">
        <v>623</v>
      </c>
      <c r="M15" s="604">
        <v>595.88</v>
      </c>
      <c r="N15" s="604" t="s">
        <v>624</v>
      </c>
      <c r="O15" s="604">
        <v>29896102</v>
      </c>
      <c r="P15" s="584" t="s">
        <v>598</v>
      </c>
      <c r="Q15" s="604">
        <f>+O15*0.3</f>
        <v>8968830.5999999996</v>
      </c>
      <c r="R15" s="604">
        <f>+Q15*M15</f>
        <v>5344346777.9279995</v>
      </c>
      <c r="S15" s="615">
        <v>3876.1</v>
      </c>
      <c r="T15" s="616" t="e">
        <f>#REF!/S15</f>
        <v>#REF!</v>
      </c>
      <c r="U15" s="615">
        <f>1696282.5*1000</f>
        <v>1696282500</v>
      </c>
      <c r="V15" s="615">
        <v>4104</v>
      </c>
      <c r="W15" s="616">
        <f>U15/V15</f>
        <v>413324.19590643275</v>
      </c>
    </row>
    <row r="16" spans="1:23" s="617" customFormat="1" ht="22.5" x14ac:dyDescent="0.2">
      <c r="A16" s="621" t="s">
        <v>625</v>
      </c>
      <c r="B16" s="607"/>
      <c r="C16" s="608"/>
      <c r="D16" s="609">
        <f>D15</f>
        <v>325.33999999999997</v>
      </c>
      <c r="E16" s="610"/>
      <c r="F16" s="611"/>
      <c r="G16" s="610"/>
      <c r="H16" s="611">
        <f>H15</f>
        <v>4637206</v>
      </c>
      <c r="I16" s="612">
        <f>+I15*B13</f>
        <v>1807916831.0292771</v>
      </c>
      <c r="J16" s="613" t="s">
        <v>625</v>
      </c>
      <c r="K16" s="614"/>
      <c r="L16" s="614"/>
      <c r="M16" s="1269">
        <f>+M15</f>
        <v>595.88</v>
      </c>
      <c r="N16" s="614"/>
      <c r="O16" s="614"/>
      <c r="P16" s="613"/>
      <c r="Q16" s="614"/>
      <c r="R16" s="614">
        <f>+R15*B13</f>
        <v>6404411472.7495098</v>
      </c>
      <c r="S16" s="618"/>
      <c r="T16" s="618"/>
      <c r="U16" s="618"/>
      <c r="V16" s="618"/>
      <c r="W16" s="618"/>
    </row>
    <row r="17" spans="1:23" s="617" customFormat="1" ht="22.5" x14ac:dyDescent="0.2">
      <c r="A17" s="622" t="s">
        <v>626</v>
      </c>
      <c r="B17" s="607"/>
      <c r="C17" s="608"/>
      <c r="D17" s="609">
        <f>+D12+D16</f>
        <v>2003.3700000000001</v>
      </c>
      <c r="E17" s="610"/>
      <c r="F17" s="611"/>
      <c r="G17" s="610"/>
      <c r="H17" s="611"/>
      <c r="I17" s="612">
        <f>+I16+I13</f>
        <v>20707932227.726704</v>
      </c>
      <c r="J17" s="613" t="s">
        <v>626</v>
      </c>
      <c r="K17" s="614"/>
      <c r="L17" s="614"/>
      <c r="M17" s="614">
        <f>+M12+M16</f>
        <v>3042.88</v>
      </c>
      <c r="N17" s="614"/>
      <c r="O17" s="614"/>
      <c r="P17" s="613"/>
      <c r="Q17" s="614"/>
      <c r="R17" s="614">
        <f>+R16+R13</f>
        <v>27649546332.407753</v>
      </c>
      <c r="S17" s="618"/>
      <c r="T17" s="618"/>
      <c r="U17" s="618"/>
      <c r="V17" s="618"/>
      <c r="W17" s="618"/>
    </row>
    <row r="18" spans="1:23" s="617" customFormat="1" ht="23.25" x14ac:dyDescent="0.2">
      <c r="A18" s="622" t="s">
        <v>627</v>
      </c>
      <c r="D18" s="612">
        <f>ROUND((I12+I15)/(H12+H15),1)</f>
        <v>1231.0999999999999</v>
      </c>
      <c r="H18" s="622" t="s">
        <v>628</v>
      </c>
      <c r="I18" s="623">
        <v>20857359300</v>
      </c>
      <c r="M18" s="614">
        <f>ROUND((R12+R15)/(Q12+Q15),1)</f>
        <v>1256.2</v>
      </c>
      <c r="Q18" s="613" t="s">
        <v>628</v>
      </c>
      <c r="R18" s="614">
        <f>R17*'[3]СВОД и Численность 061223'!$BF$8</f>
        <v>27849163542.559032</v>
      </c>
      <c r="S18" s="618"/>
      <c r="T18" s="618"/>
      <c r="U18" s="618"/>
      <c r="V18" s="618"/>
      <c r="W18" s="618"/>
    </row>
    <row r="19" spans="1:23" s="625" customFormat="1" ht="22.5" x14ac:dyDescent="0.3">
      <c r="A19" s="1423" t="s">
        <v>629</v>
      </c>
      <c r="B19" s="1424"/>
      <c r="C19" s="1424"/>
      <c r="D19" s="1424"/>
      <c r="E19" s="1424"/>
      <c r="F19" s="1424"/>
      <c r="G19" s="1424"/>
      <c r="H19" s="1424"/>
      <c r="I19" s="1424"/>
      <c r="J19" s="1424"/>
      <c r="K19" s="1424"/>
      <c r="L19" s="1424"/>
      <c r="M19" s="1424"/>
      <c r="N19" s="1424"/>
      <c r="O19" s="1424"/>
      <c r="P19" s="1424"/>
      <c r="Q19" s="1424"/>
      <c r="R19" s="1424"/>
      <c r="S19" s="624"/>
      <c r="T19" s="624"/>
      <c r="U19" s="624"/>
      <c r="V19" s="624"/>
      <c r="W19" s="624"/>
    </row>
    <row r="20" spans="1:23" s="627" customFormat="1" ht="69.75" x14ac:dyDescent="0.3">
      <c r="A20" s="590" t="s">
        <v>630</v>
      </c>
      <c r="B20" s="594" t="s">
        <v>631</v>
      </c>
      <c r="C20" s="595" t="s">
        <v>630</v>
      </c>
      <c r="D20" s="596">
        <v>760.96803946743296</v>
      </c>
      <c r="E20" s="581" t="s">
        <v>597</v>
      </c>
      <c r="F20" s="597">
        <f>+F6</f>
        <v>31329725</v>
      </c>
      <c r="G20" s="581" t="s">
        <v>632</v>
      </c>
      <c r="H20" s="597">
        <f>+H6*0.1</f>
        <v>939891.75</v>
      </c>
      <c r="I20" s="598">
        <f>+H20*D20</f>
        <v>715227582.30911458</v>
      </c>
      <c r="J20" s="601" t="s">
        <v>630</v>
      </c>
      <c r="K20" s="600" t="s">
        <v>631</v>
      </c>
      <c r="L20" s="601" t="s">
        <v>630</v>
      </c>
      <c r="M20" s="602">
        <v>760.96803946743296</v>
      </c>
      <c r="N20" s="584" t="s">
        <v>597</v>
      </c>
      <c r="O20" s="603">
        <f>+O6</f>
        <v>31329725</v>
      </c>
      <c r="P20" s="584" t="s">
        <v>632</v>
      </c>
      <c r="Q20" s="604">
        <f>+O20*0.3*0.1</f>
        <v>939891.75</v>
      </c>
      <c r="R20" s="604">
        <f t="shared" ref="R20:R23" si="0">+Q20*M20</f>
        <v>715227582.30911458</v>
      </c>
      <c r="S20" s="626"/>
      <c r="T20" s="626"/>
      <c r="U20" s="626"/>
      <c r="V20" s="626"/>
      <c r="W20" s="626"/>
    </row>
    <row r="21" spans="1:23" s="627" customFormat="1" ht="139.5" x14ac:dyDescent="0.3">
      <c r="A21" s="590" t="s">
        <v>633</v>
      </c>
      <c r="B21" s="594" t="s">
        <v>634</v>
      </c>
      <c r="C21" s="595" t="s">
        <v>635</v>
      </c>
      <c r="D21" s="596">
        <v>906.30893675221603</v>
      </c>
      <c r="E21" s="581" t="s">
        <v>597</v>
      </c>
      <c r="F21" s="597">
        <f>+F6</f>
        <v>31329725</v>
      </c>
      <c r="G21" s="581" t="s">
        <v>636</v>
      </c>
      <c r="H21" s="597">
        <f>+H6*0.3</f>
        <v>2819675.25</v>
      </c>
      <c r="I21" s="598">
        <f>+H21*D21</f>
        <v>2555496877.8140388</v>
      </c>
      <c r="J21" s="601" t="s">
        <v>633</v>
      </c>
      <c r="K21" s="600" t="s">
        <v>634</v>
      </c>
      <c r="L21" s="601" t="s">
        <v>635</v>
      </c>
      <c r="M21" s="602">
        <v>906.30893675221603</v>
      </c>
      <c r="N21" s="584" t="s">
        <v>597</v>
      </c>
      <c r="O21" s="603">
        <f>+O6</f>
        <v>31329725</v>
      </c>
      <c r="P21" s="584" t="s">
        <v>632</v>
      </c>
      <c r="Q21" s="604">
        <f>+O21*0.3*0.1</f>
        <v>939891.75</v>
      </c>
      <c r="R21" s="604">
        <f t="shared" si="0"/>
        <v>851832292.60467958</v>
      </c>
      <c r="S21" s="626"/>
      <c r="T21" s="626"/>
      <c r="U21" s="626"/>
      <c r="V21" s="626"/>
      <c r="W21" s="626"/>
    </row>
    <row r="22" spans="1:23" s="629" customFormat="1" ht="302.25" x14ac:dyDescent="0.3">
      <c r="A22" s="590" t="s">
        <v>637</v>
      </c>
      <c r="B22" s="594" t="s">
        <v>638</v>
      </c>
      <c r="C22" s="595" t="s">
        <v>639</v>
      </c>
      <c r="D22" s="596">
        <v>145</v>
      </c>
      <c r="E22" s="581" t="s">
        <v>597</v>
      </c>
      <c r="F22" s="597">
        <f>+F6</f>
        <v>31329725</v>
      </c>
      <c r="G22" s="581" t="s">
        <v>636</v>
      </c>
      <c r="H22" s="597">
        <f>+H6*0.3</f>
        <v>2819675.25</v>
      </c>
      <c r="I22" s="598">
        <f>+H22*D22</f>
        <v>408852911.25</v>
      </c>
      <c r="J22" s="605" t="s">
        <v>610</v>
      </c>
      <c r="K22" s="604" t="s">
        <v>611</v>
      </c>
      <c r="L22" s="605" t="s">
        <v>612</v>
      </c>
      <c r="M22" s="602">
        <v>768.97</v>
      </c>
      <c r="N22" s="604" t="s">
        <v>640</v>
      </c>
      <c r="O22" s="603">
        <v>22846720</v>
      </c>
      <c r="P22" s="584" t="s">
        <v>632</v>
      </c>
      <c r="Q22" s="604">
        <f>+O22*0.3*0.1</f>
        <v>685401.60000000009</v>
      </c>
      <c r="R22" s="604">
        <f t="shared" si="0"/>
        <v>527053268.35200012</v>
      </c>
      <c r="S22" s="628"/>
      <c r="T22" s="628"/>
      <c r="U22" s="628"/>
      <c r="V22" s="628"/>
      <c r="W22" s="628"/>
    </row>
    <row r="23" spans="1:23" s="629" customFormat="1" ht="93" x14ac:dyDescent="0.3">
      <c r="A23" s="590"/>
      <c r="B23" s="594"/>
      <c r="C23" s="595"/>
      <c r="D23" s="596"/>
      <c r="E23" s="581"/>
      <c r="F23" s="597"/>
      <c r="G23" s="581"/>
      <c r="H23" s="597"/>
      <c r="I23" s="598"/>
      <c r="J23" s="605" t="s">
        <v>641</v>
      </c>
      <c r="K23" s="604" t="s">
        <v>638</v>
      </c>
      <c r="L23" s="605" t="s">
        <v>639</v>
      </c>
      <c r="M23" s="602">
        <v>330</v>
      </c>
      <c r="N23" s="584" t="s">
        <v>597</v>
      </c>
      <c r="O23" s="603">
        <f>+O21</f>
        <v>31329725</v>
      </c>
      <c r="P23" s="584" t="s">
        <v>632</v>
      </c>
      <c r="Q23" s="604">
        <f>+O23*0.3*0.1</f>
        <v>939891.75</v>
      </c>
      <c r="R23" s="604">
        <f t="shared" si="0"/>
        <v>310164277.5</v>
      </c>
      <c r="S23" s="628"/>
      <c r="T23" s="628"/>
      <c r="U23" s="628"/>
      <c r="V23" s="628"/>
      <c r="W23" s="628"/>
    </row>
    <row r="24" spans="1:23" s="629" customFormat="1" ht="22.5" x14ac:dyDescent="0.3">
      <c r="A24" s="630"/>
      <c r="B24" s="607"/>
      <c r="C24" s="608"/>
      <c r="D24" s="609"/>
      <c r="E24" s="610"/>
      <c r="F24" s="611"/>
      <c r="G24" s="610"/>
      <c r="H24" s="611"/>
      <c r="I24" s="612"/>
      <c r="J24" s="613" t="s">
        <v>642</v>
      </c>
      <c r="K24" s="614"/>
      <c r="L24" s="631"/>
      <c r="M24" s="632">
        <f>+M20+M21+M22+M23</f>
        <v>2766.2469762196488</v>
      </c>
      <c r="N24" s="614"/>
      <c r="O24" s="614"/>
      <c r="P24" s="613"/>
      <c r="Q24" s="614"/>
      <c r="R24" s="614">
        <f>+R23+R22+R21+R20</f>
        <v>2404277420.7657943</v>
      </c>
      <c r="S24" s="628"/>
      <c r="T24" s="628"/>
      <c r="U24" s="628"/>
      <c r="V24" s="628"/>
      <c r="W24" s="628"/>
    </row>
    <row r="25" spans="1:23" s="629" customFormat="1" ht="22.5" x14ac:dyDescent="0.3">
      <c r="A25" s="630"/>
      <c r="B25" s="607"/>
      <c r="C25" s="608"/>
      <c r="D25" s="609"/>
      <c r="E25" s="610"/>
      <c r="F25" s="611"/>
      <c r="G25" s="610"/>
      <c r="H25" s="611"/>
      <c r="I25" s="612"/>
      <c r="J25" s="613" t="s">
        <v>643</v>
      </c>
      <c r="K25" s="614"/>
      <c r="L25" s="631"/>
      <c r="M25" s="632"/>
      <c r="N25" s="614"/>
      <c r="O25" s="614"/>
      <c r="P25" s="613"/>
      <c r="Q25" s="614"/>
      <c r="R25" s="614">
        <f>+R24*B13</f>
        <v>2881171925.5977702</v>
      </c>
      <c r="S25" s="628"/>
      <c r="T25" s="628"/>
      <c r="U25" s="628"/>
      <c r="V25" s="628"/>
      <c r="W25" s="628"/>
    </row>
    <row r="26" spans="1:23" s="629" customFormat="1" ht="23.25" x14ac:dyDescent="0.3">
      <c r="A26" s="590"/>
      <c r="B26" s="594"/>
      <c r="C26" s="595"/>
      <c r="D26" s="596"/>
      <c r="E26" s="581"/>
      <c r="F26" s="597"/>
      <c r="G26" s="581"/>
      <c r="H26" s="597"/>
      <c r="I26" s="598"/>
      <c r="J26" s="1440" t="s">
        <v>644</v>
      </c>
      <c r="K26" s="1441"/>
      <c r="L26" s="1441"/>
      <c r="M26" s="1441"/>
      <c r="N26" s="1441"/>
      <c r="O26" s="1441"/>
      <c r="P26" s="1441"/>
      <c r="Q26" s="1441"/>
      <c r="R26" s="1442"/>
      <c r="S26" s="628"/>
      <c r="T26" s="628"/>
      <c r="U26" s="628"/>
      <c r="V26" s="628"/>
      <c r="W26" s="628"/>
    </row>
    <row r="27" spans="1:23" s="629" customFormat="1" ht="69.75" x14ac:dyDescent="0.3">
      <c r="A27" s="590"/>
      <c r="B27" s="594"/>
      <c r="C27" s="595"/>
      <c r="D27" s="596"/>
      <c r="E27" s="581"/>
      <c r="F27" s="597"/>
      <c r="G27" s="581"/>
      <c r="H27" s="597"/>
      <c r="I27" s="598"/>
      <c r="J27" s="605" t="s">
        <v>645</v>
      </c>
      <c r="K27" s="604" t="s">
        <v>646</v>
      </c>
      <c r="L27" s="605" t="s">
        <v>645</v>
      </c>
      <c r="M27" s="602">
        <v>1363.662440577491</v>
      </c>
      <c r="N27" s="604" t="s">
        <v>624</v>
      </c>
      <c r="O27" s="603">
        <v>29896102</v>
      </c>
      <c r="P27" s="584" t="s">
        <v>632</v>
      </c>
      <c r="Q27" s="604">
        <f>+O27*0.3*0.1</f>
        <v>896883.06</v>
      </c>
      <c r="R27" s="604">
        <f t="shared" ref="R27:R30" si="1">+Q27*M27</f>
        <v>1223045742.5122085</v>
      </c>
      <c r="S27" s="628"/>
      <c r="T27" s="628"/>
      <c r="U27" s="628"/>
      <c r="V27" s="628"/>
      <c r="W27" s="628"/>
    </row>
    <row r="28" spans="1:23" s="629" customFormat="1" ht="255.75" x14ac:dyDescent="0.3">
      <c r="A28" s="590"/>
      <c r="B28" s="594"/>
      <c r="C28" s="595"/>
      <c r="D28" s="596"/>
      <c r="E28" s="581"/>
      <c r="F28" s="597"/>
      <c r="G28" s="581"/>
      <c r="H28" s="597"/>
      <c r="I28" s="598"/>
      <c r="J28" s="605" t="s">
        <v>647</v>
      </c>
      <c r="K28" s="604" t="s">
        <v>648</v>
      </c>
      <c r="L28" s="605" t="s">
        <v>649</v>
      </c>
      <c r="M28" s="602">
        <v>821.06826303347441</v>
      </c>
      <c r="N28" s="604" t="s">
        <v>624</v>
      </c>
      <c r="O28" s="603">
        <v>29896102</v>
      </c>
      <c r="P28" s="584" t="s">
        <v>632</v>
      </c>
      <c r="Q28" s="604">
        <f>+O28*0.3*0.1</f>
        <v>896883.06</v>
      </c>
      <c r="R28" s="604">
        <f t="shared" si="1"/>
        <v>736402216.21834743</v>
      </c>
      <c r="S28" s="628"/>
      <c r="T28" s="628"/>
      <c r="U28" s="628"/>
      <c r="V28" s="628"/>
      <c r="W28" s="628"/>
    </row>
    <row r="29" spans="1:23" s="629" customFormat="1" ht="93" x14ac:dyDescent="0.3">
      <c r="A29" s="590"/>
      <c r="B29" s="594"/>
      <c r="C29" s="595"/>
      <c r="D29" s="596"/>
      <c r="E29" s="581"/>
      <c r="F29" s="597"/>
      <c r="G29" s="581"/>
      <c r="H29" s="597"/>
      <c r="I29" s="598"/>
      <c r="J29" s="605" t="s">
        <v>650</v>
      </c>
      <c r="K29" s="604" t="s">
        <v>651</v>
      </c>
      <c r="L29" s="605" t="s">
        <v>652</v>
      </c>
      <c r="M29" s="602">
        <v>570.68535938353693</v>
      </c>
      <c r="N29" s="604" t="s">
        <v>624</v>
      </c>
      <c r="O29" s="603">
        <v>29896102</v>
      </c>
      <c r="P29" s="584" t="s">
        <v>632</v>
      </c>
      <c r="Q29" s="604">
        <f>+O29*0.3*0.1</f>
        <v>896883.06</v>
      </c>
      <c r="R29" s="604">
        <f t="shared" si="1"/>
        <v>511838031.42110634</v>
      </c>
      <c r="S29" s="628"/>
      <c r="T29" s="628"/>
      <c r="U29" s="628"/>
      <c r="V29" s="628"/>
      <c r="W29" s="628"/>
    </row>
    <row r="30" spans="1:23" s="629" customFormat="1" ht="69.75" x14ac:dyDescent="0.3">
      <c r="A30" s="590"/>
      <c r="B30" s="594"/>
      <c r="C30" s="595"/>
      <c r="D30" s="596"/>
      <c r="E30" s="581"/>
      <c r="F30" s="597"/>
      <c r="G30" s="581"/>
      <c r="H30" s="597"/>
      <c r="I30" s="598"/>
      <c r="J30" s="605" t="s">
        <v>653</v>
      </c>
      <c r="K30" s="604" t="s">
        <v>654</v>
      </c>
      <c r="L30" s="605" t="s">
        <v>655</v>
      </c>
      <c r="M30" s="602">
        <v>368.75</v>
      </c>
      <c r="N30" s="604" t="s">
        <v>624</v>
      </c>
      <c r="O30" s="603">
        <v>29896102</v>
      </c>
      <c r="P30" s="584" t="s">
        <v>632</v>
      </c>
      <c r="Q30" s="604">
        <f>+O30*0.3*0.1</f>
        <v>896883.06</v>
      </c>
      <c r="R30" s="604">
        <f t="shared" si="1"/>
        <v>330725628.375</v>
      </c>
      <c r="S30" s="628"/>
      <c r="T30" s="628"/>
      <c r="U30" s="628"/>
      <c r="V30" s="628"/>
      <c r="W30" s="628"/>
    </row>
    <row r="31" spans="1:23" s="629" customFormat="1" ht="23.25" x14ac:dyDescent="0.3">
      <c r="A31" s="590"/>
      <c r="B31" s="594"/>
      <c r="C31" s="595"/>
      <c r="D31" s="596"/>
      <c r="E31" s="581"/>
      <c r="F31" s="597"/>
      <c r="G31" s="581"/>
      <c r="H31" s="597"/>
      <c r="I31" s="598"/>
      <c r="J31" s="613" t="s">
        <v>656</v>
      </c>
      <c r="K31" s="604"/>
      <c r="L31" s="605"/>
      <c r="M31" s="632">
        <f>+M27+M28+M29+M30</f>
        <v>3124.1660629945027</v>
      </c>
      <c r="N31" s="604"/>
      <c r="O31" s="604"/>
      <c r="P31" s="586"/>
      <c r="Q31" s="604"/>
      <c r="R31" s="614">
        <f>+R27+R28+R29+R30</f>
        <v>2802011618.5266623</v>
      </c>
      <c r="S31" s="628"/>
      <c r="T31" s="628"/>
      <c r="U31" s="628"/>
      <c r="V31" s="628"/>
      <c r="W31" s="628"/>
    </row>
    <row r="32" spans="1:23" s="627" customFormat="1" ht="23.25" x14ac:dyDescent="0.3">
      <c r="A32" s="606" t="s">
        <v>657</v>
      </c>
      <c r="B32" s="633"/>
      <c r="C32" s="634"/>
      <c r="D32" s="635">
        <f>I32/H32</f>
        <v>559.27069281772583</v>
      </c>
      <c r="E32" s="636"/>
      <c r="F32" s="607"/>
      <c r="G32" s="607"/>
      <c r="H32" s="611">
        <f>SUM(H20:H22)</f>
        <v>6579242.25</v>
      </c>
      <c r="I32" s="612">
        <f>+I20+I21+I22</f>
        <v>3679577371.3731532</v>
      </c>
      <c r="J32" s="613" t="s">
        <v>658</v>
      </c>
      <c r="K32" s="614"/>
      <c r="L32" s="614"/>
      <c r="M32" s="614">
        <f>+M24+M31</f>
        <v>5890.4130392141515</v>
      </c>
      <c r="N32" s="614"/>
      <c r="O32" s="614"/>
      <c r="P32" s="613"/>
      <c r="Q32" s="614"/>
      <c r="R32" s="614">
        <f>+R31*B33</f>
        <v>3357797707.024344</v>
      </c>
      <c r="S32" s="615">
        <v>3876.1</v>
      </c>
      <c r="T32" s="616" t="e">
        <f>#REF!/S32</f>
        <v>#REF!</v>
      </c>
      <c r="U32" s="615" t="e">
        <f>#REF!*#REF!*#REF!+#REF!*#REF!*#REF!</f>
        <v>#REF!</v>
      </c>
      <c r="V32" s="615">
        <v>4104</v>
      </c>
      <c r="W32" s="616" t="e">
        <f>U32/V32</f>
        <v>#REF!</v>
      </c>
    </row>
    <row r="33" spans="1:23" s="627" customFormat="1" ht="45" x14ac:dyDescent="0.3">
      <c r="A33" s="606" t="s">
        <v>130</v>
      </c>
      <c r="B33" s="633">
        <f>+[4]Лист1!B21</f>
        <v>1.1983525281704299</v>
      </c>
      <c r="C33" s="634"/>
      <c r="D33" s="635">
        <f>(D20*H20+D21*H21+D22*H22)/H32</f>
        <v>559.27069281772583</v>
      </c>
      <c r="E33" s="636"/>
      <c r="F33" s="607"/>
      <c r="G33" s="607"/>
      <c r="H33" s="607"/>
      <c r="I33" s="612">
        <f>+I32*B33</f>
        <v>4409430845.5837231</v>
      </c>
      <c r="J33" s="613" t="s">
        <v>659</v>
      </c>
      <c r="K33" s="614"/>
      <c r="L33" s="613" t="s">
        <v>627</v>
      </c>
      <c r="M33" s="614">
        <f>ROUND((R24+R31)/(Q23+Q30),2)</f>
        <v>2834.47</v>
      </c>
      <c r="N33" s="614"/>
      <c r="O33" s="614"/>
      <c r="P33" s="613"/>
      <c r="Q33" s="614"/>
      <c r="R33" s="614">
        <f>+R32+R24</f>
        <v>5762075127.7901382</v>
      </c>
      <c r="S33" s="626"/>
      <c r="T33" s="626"/>
      <c r="U33" s="626"/>
      <c r="V33" s="626"/>
      <c r="W33" s="626"/>
    </row>
    <row r="34" spans="1:23" ht="45" x14ac:dyDescent="0.3">
      <c r="A34" s="622" t="s">
        <v>660</v>
      </c>
      <c r="B34" s="633"/>
      <c r="C34" s="634"/>
      <c r="D34" s="635"/>
      <c r="E34" s="636"/>
      <c r="F34" s="607"/>
      <c r="G34" s="607"/>
      <c r="H34" s="607"/>
      <c r="I34" s="612">
        <f>+I17+I33</f>
        <v>25117363073.310425</v>
      </c>
      <c r="J34" s="613" t="s">
        <v>661</v>
      </c>
      <c r="K34" s="614"/>
      <c r="L34" s="613" t="s">
        <v>627</v>
      </c>
      <c r="M34" s="614">
        <f>ROUND((R12+R16+R24+R31)/(Q12+Q15+Q23+Q30),2)</f>
        <v>1452.12</v>
      </c>
      <c r="N34" s="614"/>
      <c r="O34" s="614"/>
      <c r="P34" s="613"/>
      <c r="Q34" s="614"/>
      <c r="R34" s="614">
        <f>+R33+R17</f>
        <v>33411621460.197891</v>
      </c>
      <c r="S34" s="188"/>
      <c r="T34" s="188"/>
      <c r="U34" s="188"/>
      <c r="V34" s="188"/>
      <c r="W34" s="188"/>
    </row>
  </sheetData>
  <mergeCells count="24">
    <mergeCell ref="A19:R19"/>
    <mergeCell ref="J26:R26"/>
    <mergeCell ref="O6:O8"/>
    <mergeCell ref="P6:P8"/>
    <mergeCell ref="Q6:Q8"/>
    <mergeCell ref="R6:R8"/>
    <mergeCell ref="J7:J8"/>
    <mergeCell ref="A14:R14"/>
    <mergeCell ref="H6:H8"/>
    <mergeCell ref="I6:I8"/>
    <mergeCell ref="K6:K8"/>
    <mergeCell ref="L6:L8"/>
    <mergeCell ref="M6:M8"/>
    <mergeCell ref="N6:N8"/>
    <mergeCell ref="A2:I2"/>
    <mergeCell ref="B3:I3"/>
    <mergeCell ref="J3:W3"/>
    <mergeCell ref="A5:R5"/>
    <mergeCell ref="B6:B8"/>
    <mergeCell ref="C6:C8"/>
    <mergeCell ref="D6:D8"/>
    <mergeCell ref="E6:E8"/>
    <mergeCell ref="F6:F8"/>
    <mergeCell ref="G6:G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J33"/>
  <sheetViews>
    <sheetView workbookViewId="0">
      <selection activeCell="E12" sqref="E12"/>
    </sheetView>
  </sheetViews>
  <sheetFormatPr defaultRowHeight="12.75" x14ac:dyDescent="0.2"/>
  <cols>
    <col min="1" max="1" width="5.5703125" style="202" bestFit="1" customWidth="1"/>
    <col min="2" max="2" width="29.85546875" customWidth="1"/>
    <col min="3" max="3" width="16.7109375" customWidth="1"/>
    <col min="4" max="4" width="12.85546875" bestFit="1" customWidth="1"/>
    <col min="5" max="5" width="16.7109375" customWidth="1"/>
    <col min="6" max="6" width="12.85546875" bestFit="1" customWidth="1"/>
    <col min="7" max="7" width="12.5703125" bestFit="1" customWidth="1"/>
    <col min="8" max="8" width="16.7109375" customWidth="1"/>
    <col min="9" max="9" width="16.5703125" customWidth="1"/>
  </cols>
  <sheetData>
    <row r="1" spans="1:9" ht="22.5" customHeight="1" x14ac:dyDescent="0.2">
      <c r="B1" s="1460" t="s">
        <v>406</v>
      </c>
      <c r="C1" s="1460"/>
      <c r="D1" s="1460"/>
      <c r="E1" s="1460"/>
      <c r="F1" s="1460"/>
      <c r="G1" s="1460"/>
      <c r="H1" s="1460"/>
    </row>
    <row r="2" spans="1:9" ht="33.75" customHeight="1" x14ac:dyDescent="0.2">
      <c r="A2" s="1461" t="s">
        <v>425</v>
      </c>
      <c r="B2" s="1463" t="s">
        <v>405</v>
      </c>
      <c r="C2" s="1463" t="s">
        <v>532</v>
      </c>
      <c r="D2" s="1463"/>
      <c r="E2" s="1463" t="s">
        <v>123</v>
      </c>
      <c r="F2" s="1463"/>
      <c r="G2" s="1463" t="s">
        <v>414</v>
      </c>
      <c r="H2" s="1463"/>
      <c r="I2" s="1292" t="s">
        <v>929</v>
      </c>
    </row>
    <row r="3" spans="1:9" s="190" customFormat="1" ht="22.5" customHeight="1" x14ac:dyDescent="0.2">
      <c r="A3" s="1462"/>
      <c r="B3" s="1463"/>
      <c r="C3" s="183" t="s">
        <v>412</v>
      </c>
      <c r="D3" s="183" t="s">
        <v>413</v>
      </c>
      <c r="E3" s="183" t="s">
        <v>412</v>
      </c>
      <c r="F3" s="183" t="s">
        <v>413</v>
      </c>
      <c r="G3" s="150" t="s">
        <v>412</v>
      </c>
      <c r="H3" s="150" t="s">
        <v>371</v>
      </c>
      <c r="I3" s="1293" t="e">
        <f>#REF!/1000/1000</f>
        <v>#REF!</v>
      </c>
    </row>
    <row r="4" spans="1:9" s="190" customFormat="1" ht="14.25" x14ac:dyDescent="0.2">
      <c r="A4" s="330"/>
      <c r="B4" s="1458" t="s">
        <v>415</v>
      </c>
      <c r="C4" s="1458"/>
      <c r="D4" s="1458"/>
      <c r="E4" s="1458"/>
      <c r="F4" s="1458"/>
      <c r="G4" s="1458"/>
      <c r="H4" s="1458"/>
    </row>
    <row r="5" spans="1:9" ht="28.5" x14ac:dyDescent="0.2">
      <c r="A5" s="307" t="s">
        <v>204</v>
      </c>
      <c r="B5" s="308" t="s">
        <v>407</v>
      </c>
      <c r="C5" s="309" t="e">
        <f>+#REF!/1000/1000</f>
        <v>#REF!</v>
      </c>
      <c r="D5" s="310" t="e">
        <f>+C5/C15</f>
        <v>#REF!</v>
      </c>
      <c r="E5" s="309" t="e">
        <f>+#REF!/1000000</f>
        <v>#REF!</v>
      </c>
      <c r="F5" s="310" t="e">
        <f>+E5/E15</f>
        <v>#REF!</v>
      </c>
      <c r="G5" s="309" t="e">
        <f>+E5-C5</f>
        <v>#REF!</v>
      </c>
      <c r="H5" s="311" t="e">
        <f>+E5/C5</f>
        <v>#REF!</v>
      </c>
    </row>
    <row r="6" spans="1:9" ht="28.5" x14ac:dyDescent="0.2">
      <c r="A6" s="312" t="s">
        <v>206</v>
      </c>
      <c r="B6" s="313" t="s">
        <v>408</v>
      </c>
      <c r="C6" s="314" t="e">
        <f>(+(#REF!+#REF!)/1000)/1000</f>
        <v>#REF!</v>
      </c>
      <c r="D6" s="315" t="e">
        <f>+C6/C15</f>
        <v>#REF!</v>
      </c>
      <c r="E6" s="314" t="e">
        <f>+(#REF!+#REF!)/1000000</f>
        <v>#REF!</v>
      </c>
      <c r="F6" s="315" t="e">
        <f>+E6/E15</f>
        <v>#REF!</v>
      </c>
      <c r="G6" s="314" t="e">
        <f t="shared" ref="G6:G20" si="0">+E6-C6</f>
        <v>#REF!</v>
      </c>
      <c r="H6" s="316" t="e">
        <f t="shared" ref="H6:H21" si="1">+E6/C6</f>
        <v>#REF!</v>
      </c>
      <c r="I6" s="182"/>
    </row>
    <row r="7" spans="1:9" s="196" customFormat="1" ht="15.75" x14ac:dyDescent="0.2">
      <c r="A7" s="204" t="s">
        <v>418</v>
      </c>
      <c r="B7" s="198" t="s">
        <v>417</v>
      </c>
      <c r="C7" s="199" t="e">
        <f>#REF!/1000000</f>
        <v>#REF!</v>
      </c>
      <c r="D7" s="200" t="e">
        <f>+C7/C18</f>
        <v>#REF!</v>
      </c>
      <c r="E7" s="199" t="e">
        <f>+#REF!/1000000</f>
        <v>#REF!</v>
      </c>
      <c r="F7" s="200" t="e">
        <f>+E7/E18</f>
        <v>#REF!</v>
      </c>
      <c r="G7" s="195" t="e">
        <f t="shared" si="0"/>
        <v>#REF!</v>
      </c>
      <c r="H7" s="192" t="e">
        <f t="shared" si="1"/>
        <v>#REF!</v>
      </c>
      <c r="I7" s="197"/>
    </row>
    <row r="8" spans="1:9" ht="15.75" x14ac:dyDescent="0.2">
      <c r="A8" s="317" t="s">
        <v>208</v>
      </c>
      <c r="B8" s="318" t="s">
        <v>368</v>
      </c>
      <c r="C8" s="319" t="e">
        <f>+(#REF!+#REF!)/1000/1000</f>
        <v>#REF!</v>
      </c>
      <c r="D8" s="320" t="e">
        <f>+C8/C15</f>
        <v>#REF!</v>
      </c>
      <c r="E8" s="319" t="e">
        <f>+(#REF!+#REF!)/1000000</f>
        <v>#REF!</v>
      </c>
      <c r="F8" s="320" t="e">
        <f>+E8/E15</f>
        <v>#REF!</v>
      </c>
      <c r="G8" s="319" t="e">
        <f t="shared" si="0"/>
        <v>#REF!</v>
      </c>
      <c r="H8" s="321" t="e">
        <f t="shared" si="1"/>
        <v>#REF!</v>
      </c>
      <c r="I8" s="182"/>
    </row>
    <row r="9" spans="1:9" ht="15.75" x14ac:dyDescent="0.2">
      <c r="A9" s="204" t="s">
        <v>420</v>
      </c>
      <c r="B9" s="198" t="s">
        <v>464</v>
      </c>
      <c r="C9" s="199" t="e">
        <f>#REF!/1000/1000</f>
        <v>#REF!</v>
      </c>
      <c r="D9" s="200" t="e">
        <f>+C9/C16</f>
        <v>#REF!</v>
      </c>
      <c r="E9" s="199" t="e">
        <f>#REF!/1000/1000</f>
        <v>#REF!</v>
      </c>
      <c r="F9" s="200" t="e">
        <f>+E9/E16</f>
        <v>#REF!</v>
      </c>
      <c r="G9" s="195" t="e">
        <f t="shared" ref="G9:G10" si="2">+E9-C9</f>
        <v>#REF!</v>
      </c>
      <c r="H9" s="192" t="e">
        <f t="shared" ref="H9:H10" si="3">+E9/C9</f>
        <v>#REF!</v>
      </c>
      <c r="I9" s="182"/>
    </row>
    <row r="10" spans="1:9" ht="15.75" x14ac:dyDescent="0.2">
      <c r="A10" s="204" t="s">
        <v>461</v>
      </c>
      <c r="B10" s="198" t="s">
        <v>463</v>
      </c>
      <c r="C10" s="199" t="e">
        <f>#REF!/1000/1000</f>
        <v>#REF!</v>
      </c>
      <c r="D10" s="200">
        <v>1</v>
      </c>
      <c r="E10" s="199" t="e">
        <f>#REF!/1000/1000</f>
        <v>#REF!</v>
      </c>
      <c r="F10" s="200">
        <v>1</v>
      </c>
      <c r="G10" s="195" t="e">
        <f t="shared" si="2"/>
        <v>#REF!</v>
      </c>
      <c r="H10" s="192" t="e">
        <f t="shared" si="3"/>
        <v>#REF!</v>
      </c>
      <c r="I10" s="182"/>
    </row>
    <row r="11" spans="1:9" s="196" customFormat="1" ht="15.75" x14ac:dyDescent="0.2">
      <c r="A11" s="204" t="s">
        <v>462</v>
      </c>
      <c r="B11" s="198" t="s">
        <v>417</v>
      </c>
      <c r="C11" s="199" t="e">
        <f>+#REF!/1000000</f>
        <v>#REF!</v>
      </c>
      <c r="D11" s="200" t="e">
        <f>+C11/C18</f>
        <v>#REF!</v>
      </c>
      <c r="E11" s="199" t="e">
        <f>+#REF!/1000000</f>
        <v>#REF!</v>
      </c>
      <c r="F11" s="200" t="e">
        <f>+E11/E18</f>
        <v>#REF!</v>
      </c>
      <c r="G11" s="195" t="e">
        <f t="shared" si="0"/>
        <v>#REF!</v>
      </c>
      <c r="H11" s="192" t="e">
        <f t="shared" si="1"/>
        <v>#REF!</v>
      </c>
      <c r="I11" s="197"/>
    </row>
    <row r="12" spans="1:9" ht="15.75" x14ac:dyDescent="0.2">
      <c r="A12" s="332">
        <v>4</v>
      </c>
      <c r="B12" s="333" t="s">
        <v>367</v>
      </c>
      <c r="C12" s="322" t="e">
        <f>+(#REF!+#REF!)/1000/1000</f>
        <v>#REF!</v>
      </c>
      <c r="D12" s="323" t="e">
        <f>+C12/C15</f>
        <v>#REF!</v>
      </c>
      <c r="E12" s="322" t="e">
        <f>+(#REF!+#REF!)/1000000</f>
        <v>#REF!</v>
      </c>
      <c r="F12" s="323" t="e">
        <f>+E12/E15</f>
        <v>#REF!</v>
      </c>
      <c r="G12" s="322" t="e">
        <f t="shared" si="0"/>
        <v>#REF!</v>
      </c>
      <c r="H12" s="324" t="e">
        <f t="shared" si="1"/>
        <v>#REF!</v>
      </c>
      <c r="I12" s="182"/>
    </row>
    <row r="13" spans="1:9" s="196" customFormat="1" ht="15.75" x14ac:dyDescent="0.2">
      <c r="A13" s="204" t="s">
        <v>421</v>
      </c>
      <c r="B13" s="198" t="s">
        <v>464</v>
      </c>
      <c r="C13" s="199" t="e">
        <f>#REF!/1000/1000</f>
        <v>#REF!</v>
      </c>
      <c r="D13" s="200" t="e">
        <f>+C13/C16</f>
        <v>#REF!</v>
      </c>
      <c r="E13" s="199" t="e">
        <f>#REF!/1000/1000</f>
        <v>#REF!</v>
      </c>
      <c r="F13" s="200" t="e">
        <f>+E13/E16</f>
        <v>#REF!</v>
      </c>
      <c r="G13" s="195" t="e">
        <f t="shared" ref="G13" si="4">+E13-C13</f>
        <v>#REF!</v>
      </c>
      <c r="H13" s="192" t="e">
        <f t="shared" ref="H13" si="5">+E13/C13</f>
        <v>#REF!</v>
      </c>
      <c r="I13" s="197"/>
    </row>
    <row r="14" spans="1:9" s="196" customFormat="1" ht="15.75" x14ac:dyDescent="0.2">
      <c r="A14" s="204" t="s">
        <v>465</v>
      </c>
      <c r="B14" s="198" t="s">
        <v>417</v>
      </c>
      <c r="C14" s="199" t="e">
        <f>+#REF!/1000000</f>
        <v>#REF!</v>
      </c>
      <c r="D14" s="200" t="e">
        <f>+C14/C18</f>
        <v>#REF!</v>
      </c>
      <c r="E14" s="199" t="e">
        <f>+#REF!/1000000</f>
        <v>#REF!</v>
      </c>
      <c r="F14" s="200" t="e">
        <f>+E14/E18</f>
        <v>#REF!</v>
      </c>
      <c r="G14" s="195" t="e">
        <f t="shared" si="0"/>
        <v>#REF!</v>
      </c>
      <c r="H14" s="192" t="e">
        <f t="shared" si="1"/>
        <v>#REF!</v>
      </c>
      <c r="I14" s="197"/>
    </row>
    <row r="15" spans="1:9" s="189" customFormat="1" ht="28.5" x14ac:dyDescent="0.2">
      <c r="A15" s="325">
        <v>5</v>
      </c>
      <c r="B15" s="326" t="s">
        <v>409</v>
      </c>
      <c r="C15" s="327" t="e">
        <f>+C5+C6+C8+C12</f>
        <v>#REF!</v>
      </c>
      <c r="D15" s="328" t="e">
        <f>+D5+D6+D8+D12</f>
        <v>#REF!</v>
      </c>
      <c r="E15" s="327" t="e">
        <f>+E5+E6+E8+E12</f>
        <v>#REF!</v>
      </c>
      <c r="F15" s="328" t="e">
        <f>+F5+F6+F8+F12</f>
        <v>#REF!</v>
      </c>
      <c r="G15" s="327" t="e">
        <f>+G5+G6+G8+G12</f>
        <v>#REF!</v>
      </c>
      <c r="H15" s="329" t="e">
        <f t="shared" si="1"/>
        <v>#REF!</v>
      </c>
    </row>
    <row r="16" spans="1:9" ht="15.75" x14ac:dyDescent="0.2">
      <c r="A16" s="204" t="s">
        <v>422</v>
      </c>
      <c r="B16" s="198" t="s">
        <v>464</v>
      </c>
      <c r="C16" s="199" t="e">
        <f>C9+C13</f>
        <v>#REF!</v>
      </c>
      <c r="D16" s="200" t="e">
        <f>D9+D13</f>
        <v>#REF!</v>
      </c>
      <c r="E16" s="199" t="e">
        <f>E9+E13</f>
        <v>#REF!</v>
      </c>
      <c r="F16" s="200" t="e">
        <f>F9+F13</f>
        <v>#REF!</v>
      </c>
      <c r="G16" s="195" t="e">
        <f t="shared" ref="G16:G17" si="6">+E16-C16</f>
        <v>#REF!</v>
      </c>
      <c r="H16" s="192" t="e">
        <f t="shared" ref="H16:H17" si="7">+E16/C16</f>
        <v>#REF!</v>
      </c>
      <c r="I16" s="182"/>
    </row>
    <row r="17" spans="1:10" ht="15.75" x14ac:dyDescent="0.2">
      <c r="A17" s="204" t="s">
        <v>466</v>
      </c>
      <c r="B17" s="198" t="s">
        <v>463</v>
      </c>
      <c r="C17" s="199" t="e">
        <f>C10</f>
        <v>#REF!</v>
      </c>
      <c r="D17" s="200">
        <f>D10</f>
        <v>1</v>
      </c>
      <c r="E17" s="199" t="e">
        <f>E10</f>
        <v>#REF!</v>
      </c>
      <c r="F17" s="200">
        <f>F10</f>
        <v>1</v>
      </c>
      <c r="G17" s="195" t="e">
        <f t="shared" si="6"/>
        <v>#REF!</v>
      </c>
      <c r="H17" s="192" t="e">
        <f t="shared" si="7"/>
        <v>#REF!</v>
      </c>
      <c r="I17" s="182"/>
    </row>
    <row r="18" spans="1:10" s="196" customFormat="1" ht="15.75" x14ac:dyDescent="0.2">
      <c r="A18" s="204" t="s">
        <v>467</v>
      </c>
      <c r="B18" s="198" t="s">
        <v>417</v>
      </c>
      <c r="C18" s="199" t="e">
        <f>+C14+C11+C7</f>
        <v>#REF!</v>
      </c>
      <c r="D18" s="200" t="e">
        <f>+D14+D11+D7</f>
        <v>#REF!</v>
      </c>
      <c r="E18" s="199" t="e">
        <f>+E14+E11+E7</f>
        <v>#REF!</v>
      </c>
      <c r="F18" s="200" t="e">
        <f>+E18/E18</f>
        <v>#REF!</v>
      </c>
      <c r="G18" s="195" t="e">
        <f t="shared" si="0"/>
        <v>#REF!</v>
      </c>
      <c r="H18" s="192" t="e">
        <f t="shared" si="1"/>
        <v>#REF!</v>
      </c>
    </row>
    <row r="19" spans="1:10" ht="15.75" x14ac:dyDescent="0.2">
      <c r="A19" s="203">
        <v>6</v>
      </c>
      <c r="B19" s="184" t="s">
        <v>410</v>
      </c>
      <c r="C19" s="187" t="e">
        <f>+#REF!/1000000</f>
        <v>#REF!</v>
      </c>
      <c r="D19" s="187"/>
      <c r="E19" s="187" t="e">
        <f>+#REF!/1000000</f>
        <v>#REF!</v>
      </c>
      <c r="F19" s="188"/>
      <c r="G19" s="187" t="e">
        <f t="shared" si="0"/>
        <v>#REF!</v>
      </c>
      <c r="H19" s="191" t="e">
        <f t="shared" si="1"/>
        <v>#REF!</v>
      </c>
    </row>
    <row r="20" spans="1:10" s="189" customFormat="1" ht="15.75" x14ac:dyDescent="0.2">
      <c r="A20" s="203">
        <v>7</v>
      </c>
      <c r="B20" s="185" t="s">
        <v>411</v>
      </c>
      <c r="C20" s="186" t="e">
        <f>+C15+C19</f>
        <v>#REF!</v>
      </c>
      <c r="D20" s="186"/>
      <c r="E20" s="186" t="e">
        <f>+E15+E19</f>
        <v>#REF!</v>
      </c>
      <c r="F20" s="194"/>
      <c r="G20" s="186" t="e">
        <f t="shared" si="0"/>
        <v>#REF!</v>
      </c>
      <c r="H20" s="193" t="e">
        <f t="shared" si="1"/>
        <v>#REF!</v>
      </c>
      <c r="I20" s="214"/>
      <c r="J20" s="214"/>
    </row>
    <row r="21" spans="1:10" s="189" customFormat="1" ht="15.75" x14ac:dyDescent="0.2">
      <c r="A21" s="203"/>
      <c r="B21" s="185" t="s">
        <v>426</v>
      </c>
      <c r="C21" s="186" t="e">
        <f>+#REF!</f>
        <v>#REF!</v>
      </c>
      <c r="D21" s="186"/>
      <c r="E21" s="186" t="e">
        <f>+#REF!</f>
        <v>#REF!</v>
      </c>
      <c r="F21" s="194"/>
      <c r="G21" s="186" t="e">
        <f>+E21-C21</f>
        <v>#REF!</v>
      </c>
      <c r="H21" s="193" t="e">
        <f t="shared" si="1"/>
        <v>#REF!</v>
      </c>
    </row>
    <row r="22" spans="1:10" ht="18" customHeight="1" x14ac:dyDescent="0.2">
      <c r="A22" s="331"/>
      <c r="B22" s="1459" t="s">
        <v>416</v>
      </c>
      <c r="C22" s="1459"/>
      <c r="D22" s="1459"/>
      <c r="E22" s="1459"/>
      <c r="F22" s="1459"/>
      <c r="G22" s="1459"/>
      <c r="H22" s="1459"/>
    </row>
    <row r="23" spans="1:10" ht="15.75" x14ac:dyDescent="0.2">
      <c r="A23" s="317" t="s">
        <v>218</v>
      </c>
      <c r="B23" s="318" t="s">
        <v>368</v>
      </c>
      <c r="C23" s="319" t="e">
        <f>+(#REF!+#REF!)/1000000</f>
        <v>#REF!</v>
      </c>
      <c r="D23" s="320" t="e">
        <f>+C23/C30</f>
        <v>#REF!</v>
      </c>
      <c r="E23" s="319" t="e">
        <f>+(#REF!+#REF!)/1000000</f>
        <v>#REF!</v>
      </c>
      <c r="F23" s="320" t="e">
        <f>+E23/E30</f>
        <v>#REF!</v>
      </c>
      <c r="G23" s="319" t="e">
        <f>+E23-C23</f>
        <v>#REF!</v>
      </c>
      <c r="H23" s="321" t="e">
        <f>+E23/C23</f>
        <v>#REF!</v>
      </c>
      <c r="I23" s="182"/>
    </row>
    <row r="24" spans="1:10" s="196" customFormat="1" x14ac:dyDescent="0.2">
      <c r="A24" s="204" t="s">
        <v>419</v>
      </c>
      <c r="B24" s="198" t="s">
        <v>464</v>
      </c>
      <c r="C24" s="199" t="e">
        <f>#REF!/1000/1000</f>
        <v>#REF!</v>
      </c>
      <c r="D24" s="200" t="e">
        <f>+C24/C31</f>
        <v>#REF!</v>
      </c>
      <c r="E24" s="199" t="e">
        <f>#REF!/1000/1000</f>
        <v>#REF!</v>
      </c>
      <c r="F24" s="200" t="e">
        <f t="shared" ref="F24:F25" si="8">+E24/E31</f>
        <v>#REF!</v>
      </c>
      <c r="G24" s="199" t="e">
        <f t="shared" ref="G24:G25" si="9">+E24-C24</f>
        <v>#REF!</v>
      </c>
      <c r="H24" s="201" t="e">
        <f t="shared" ref="H24:H25" si="10">+E24/C24</f>
        <v>#REF!</v>
      </c>
    </row>
    <row r="25" spans="1:10" s="196" customFormat="1" x14ac:dyDescent="0.2">
      <c r="A25" s="204" t="s">
        <v>468</v>
      </c>
      <c r="B25" s="198" t="s">
        <v>463</v>
      </c>
      <c r="C25" s="199" t="e">
        <f>#REF!/1000/1000</f>
        <v>#REF!</v>
      </c>
      <c r="D25" s="200" t="e">
        <f>+C25/C32</f>
        <v>#REF!</v>
      </c>
      <c r="E25" s="199" t="e">
        <f>#REF!/1000/1000</f>
        <v>#REF!</v>
      </c>
      <c r="F25" s="200" t="e">
        <f t="shared" si="8"/>
        <v>#REF!</v>
      </c>
      <c r="G25" s="199" t="e">
        <f t="shared" si="9"/>
        <v>#REF!</v>
      </c>
      <c r="H25" s="201" t="e">
        <f t="shared" si="10"/>
        <v>#REF!</v>
      </c>
    </row>
    <row r="26" spans="1:10" s="196" customFormat="1" x14ac:dyDescent="0.2">
      <c r="A26" s="204" t="s">
        <v>469</v>
      </c>
      <c r="B26" s="198" t="s">
        <v>417</v>
      </c>
      <c r="C26" s="199" t="e">
        <f>+#REF!/1000000</f>
        <v>#REF!</v>
      </c>
      <c r="D26" s="200" t="e">
        <f>+C26/C33</f>
        <v>#REF!</v>
      </c>
      <c r="E26" s="199" t="e">
        <f>+#REF!/1000000</f>
        <v>#REF!</v>
      </c>
      <c r="F26" s="200" t="e">
        <f>+E26/E33</f>
        <v>#REF!</v>
      </c>
      <c r="G26" s="199" t="e">
        <f>+E26-C26</f>
        <v>#REF!</v>
      </c>
      <c r="H26" s="201" t="e">
        <f t="shared" ref="H26:H33" si="11">+E26/C26</f>
        <v>#REF!</v>
      </c>
    </row>
    <row r="27" spans="1:10" ht="15.75" x14ac:dyDescent="0.2">
      <c r="A27" s="332" t="s">
        <v>220</v>
      </c>
      <c r="B27" s="333" t="s">
        <v>367</v>
      </c>
      <c r="C27" s="322" t="e">
        <f>+(#REF!+#REF!)/1000000</f>
        <v>#REF!</v>
      </c>
      <c r="D27" s="323" t="e">
        <f>+C27/C30</f>
        <v>#REF!</v>
      </c>
      <c r="E27" s="322" t="e">
        <f>+(#REF!+#REF!)/1000000</f>
        <v>#REF!</v>
      </c>
      <c r="F27" s="323" t="e">
        <f>+E27/E30</f>
        <v>#REF!</v>
      </c>
      <c r="G27" s="322" t="e">
        <f t="shared" ref="G27:G33" si="12">+E27-C27</f>
        <v>#REF!</v>
      </c>
      <c r="H27" s="324" t="e">
        <f t="shared" si="11"/>
        <v>#REF!</v>
      </c>
      <c r="I27" s="182"/>
    </row>
    <row r="28" spans="1:10" s="196" customFormat="1" x14ac:dyDescent="0.2">
      <c r="A28" s="204" t="s">
        <v>423</v>
      </c>
      <c r="B28" s="198" t="s">
        <v>464</v>
      </c>
      <c r="C28" s="199" t="e">
        <f>#REF!/1000/1000</f>
        <v>#REF!</v>
      </c>
      <c r="D28" s="200" t="e">
        <f>+C28/C31</f>
        <v>#REF!</v>
      </c>
      <c r="E28" s="199" t="e">
        <f>#REF!/1000/1000</f>
        <v>#REF!</v>
      </c>
      <c r="F28" s="200" t="e">
        <f>+E28/E31</f>
        <v>#REF!</v>
      </c>
      <c r="G28" s="199" t="e">
        <f t="shared" ref="G28" si="13">+E28-C28</f>
        <v>#REF!</v>
      </c>
      <c r="H28" s="201" t="e">
        <f t="shared" ref="H28" si="14">+E28/C28</f>
        <v>#REF!</v>
      </c>
    </row>
    <row r="29" spans="1:10" s="196" customFormat="1" x14ac:dyDescent="0.2">
      <c r="A29" s="204" t="s">
        <v>470</v>
      </c>
      <c r="B29" s="198" t="s">
        <v>417</v>
      </c>
      <c r="C29" s="199" t="e">
        <f>+#REF!/1000000</f>
        <v>#REF!</v>
      </c>
      <c r="D29" s="200" t="e">
        <f>+C29/C33</f>
        <v>#REF!</v>
      </c>
      <c r="E29" s="199" t="e">
        <f>+#REF!/1000000</f>
        <v>#REF!</v>
      </c>
      <c r="F29" s="200" t="e">
        <f>+E29/E33</f>
        <v>#REF!</v>
      </c>
      <c r="G29" s="199" t="e">
        <f t="shared" si="12"/>
        <v>#REF!</v>
      </c>
      <c r="H29" s="201" t="e">
        <f t="shared" si="11"/>
        <v>#REF!</v>
      </c>
    </row>
    <row r="30" spans="1:10" s="189" customFormat="1" ht="28.5" x14ac:dyDescent="0.2">
      <c r="A30" s="334" t="s">
        <v>222</v>
      </c>
      <c r="B30" s="326" t="s">
        <v>409</v>
      </c>
      <c r="C30" s="327" t="e">
        <f>+C23+C27</f>
        <v>#REF!</v>
      </c>
      <c r="D30" s="328" t="e">
        <f>+C30/C30</f>
        <v>#REF!</v>
      </c>
      <c r="E30" s="327" t="e">
        <f>+E23+E27</f>
        <v>#REF!</v>
      </c>
      <c r="F30" s="328" t="e">
        <f>+E30/E30</f>
        <v>#REF!</v>
      </c>
      <c r="G30" s="327" t="e">
        <f t="shared" si="12"/>
        <v>#REF!</v>
      </c>
      <c r="H30" s="335" t="e">
        <f t="shared" si="11"/>
        <v>#REF!</v>
      </c>
    </row>
    <row r="31" spans="1:10" s="196" customFormat="1" x14ac:dyDescent="0.2">
      <c r="A31" s="204" t="s">
        <v>424</v>
      </c>
      <c r="B31" s="198" t="s">
        <v>464</v>
      </c>
      <c r="C31" s="205" t="e">
        <f>C24+C28</f>
        <v>#REF!</v>
      </c>
      <c r="D31" s="201" t="e">
        <f>D24+D28</f>
        <v>#REF!</v>
      </c>
      <c r="E31" s="205" t="e">
        <f t="shared" ref="E31:F31" si="15">E24+E28</f>
        <v>#REF!</v>
      </c>
      <c r="F31" s="200" t="e">
        <f t="shared" si="15"/>
        <v>#REF!</v>
      </c>
      <c r="G31" s="199" t="e">
        <f t="shared" ref="G31:G32" si="16">+E31-C31</f>
        <v>#REF!</v>
      </c>
      <c r="H31" s="201" t="e">
        <f t="shared" ref="H31:H32" si="17">+E31/C31</f>
        <v>#REF!</v>
      </c>
    </row>
    <row r="32" spans="1:10" s="196" customFormat="1" x14ac:dyDescent="0.2">
      <c r="A32" s="204" t="s">
        <v>471</v>
      </c>
      <c r="B32" s="198" t="s">
        <v>463</v>
      </c>
      <c r="C32" s="205" t="e">
        <f>C25</f>
        <v>#REF!</v>
      </c>
      <c r="D32" s="201" t="e">
        <f>D25</f>
        <v>#REF!</v>
      </c>
      <c r="E32" s="205" t="e">
        <f>E25</f>
        <v>#REF!</v>
      </c>
      <c r="F32" s="200" t="e">
        <f>F25</f>
        <v>#REF!</v>
      </c>
      <c r="G32" s="199" t="e">
        <f t="shared" si="16"/>
        <v>#REF!</v>
      </c>
      <c r="H32" s="201" t="e">
        <f t="shared" si="17"/>
        <v>#REF!</v>
      </c>
    </row>
    <row r="33" spans="1:8" s="196" customFormat="1" x14ac:dyDescent="0.2">
      <c r="A33" s="204" t="s">
        <v>472</v>
      </c>
      <c r="B33" s="198" t="s">
        <v>417</v>
      </c>
      <c r="C33" s="205" t="e">
        <f>+C26+C29</f>
        <v>#REF!</v>
      </c>
      <c r="D33" s="201" t="e">
        <f>+D26+D29</f>
        <v>#REF!</v>
      </c>
      <c r="E33" s="205" t="e">
        <f>+E26+E29</f>
        <v>#REF!</v>
      </c>
      <c r="F33" s="200" t="e">
        <f>+E33/E33</f>
        <v>#REF!</v>
      </c>
      <c r="G33" s="199" t="e">
        <f t="shared" si="12"/>
        <v>#REF!</v>
      </c>
      <c r="H33" s="201" t="e">
        <f t="shared" si="11"/>
        <v>#REF!</v>
      </c>
    </row>
  </sheetData>
  <mergeCells count="8">
    <mergeCell ref="B4:H4"/>
    <mergeCell ref="B22:H22"/>
    <mergeCell ref="B1:H1"/>
    <mergeCell ref="A2:A3"/>
    <mergeCell ref="B2:B3"/>
    <mergeCell ref="C2:D2"/>
    <mergeCell ref="E2:F2"/>
    <mergeCell ref="G2:H2"/>
  </mergeCells>
  <conditionalFormatting sqref="G5:G21">
    <cfRule type="cellIs" dxfId="18" priority="5" operator="lessThan">
      <formula>0</formula>
    </cfRule>
  </conditionalFormatting>
  <conditionalFormatting sqref="G23:G33">
    <cfRule type="cellIs" dxfId="17" priority="1" operator="lessThan">
      <formula>0</formula>
    </cfRule>
  </conditionalFormatting>
  <pageMargins left="3.937007874015748E-2" right="3.937007874015748E-2" top="0.15748031496062992" bottom="0.15748031496062992" header="0.31496062992125984" footer="0.31496062992125984"/>
  <pageSetup paperSize="9" fitToWidth="0" orientation="landscape" r:id="rId1"/>
  <headerFooter>
    <oddHeader>&amp;L&amp;D&amp;T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15D3-A99B-4F59-9735-ACBE06F4F83A}">
  <sheetPr>
    <tabColor rgb="FFFFFF00"/>
    <pageSetUpPr fitToPage="1"/>
  </sheetPr>
  <dimension ref="A1:P84"/>
  <sheetViews>
    <sheetView view="pageBreakPreview" zoomScale="40" zoomScaleNormal="46" zoomScaleSheetLayoutView="40" workbookViewId="0">
      <pane xSplit="2" ySplit="9" topLeftCell="C17" activePane="bottomRight" state="frozen"/>
      <selection pane="topRight" activeCell="C1" sqref="C1"/>
      <selection pane="bottomLeft" activeCell="A10" sqref="A10"/>
      <selection pane="bottomRight" activeCell="A36" sqref="A36:XFD38"/>
    </sheetView>
  </sheetViews>
  <sheetFormatPr defaultRowHeight="12.75" x14ac:dyDescent="0.2"/>
  <cols>
    <col min="1" max="1" width="82.5703125" customWidth="1"/>
    <col min="2" max="2" width="27" customWidth="1"/>
    <col min="3" max="3" width="27.5703125" customWidth="1"/>
    <col min="4" max="5" width="27.140625" customWidth="1"/>
    <col min="6" max="6" width="26.85546875" customWidth="1"/>
    <col min="7" max="7" width="37.42578125" customWidth="1"/>
    <col min="8" max="8" width="37.7109375" customWidth="1"/>
    <col min="9" max="9" width="30.85546875" customWidth="1"/>
    <col min="10" max="10" width="23.140625" customWidth="1"/>
    <col min="11" max="11" width="37.28515625" customWidth="1"/>
    <col min="12" max="12" width="27.140625" customWidth="1"/>
    <col min="13" max="13" width="37.7109375" customWidth="1"/>
    <col min="14" max="14" width="34.7109375" customWidth="1"/>
    <col min="15" max="16" width="33.7109375" customWidth="1"/>
  </cols>
  <sheetData>
    <row r="1" spans="1:16" s="157" customFormat="1" ht="26.25" x14ac:dyDescent="0.4">
      <c r="A1" s="1464" t="s">
        <v>534</v>
      </c>
      <c r="B1" s="1464"/>
      <c r="C1" s="1464"/>
      <c r="D1" s="1464"/>
      <c r="E1" s="1464"/>
      <c r="F1" s="1464"/>
      <c r="G1" s="1464"/>
      <c r="H1" s="1464"/>
      <c r="I1" s="1464"/>
      <c r="J1" s="1464"/>
      <c r="K1" s="1464"/>
      <c r="L1" s="1464"/>
      <c r="M1" s="1464"/>
      <c r="N1" s="1464"/>
      <c r="O1" s="1464"/>
      <c r="P1" s="1464"/>
    </row>
    <row r="2" spans="1:16" s="157" customFormat="1" ht="26.25" x14ac:dyDescent="0.4">
      <c r="A2" s="501"/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</row>
    <row r="3" spans="1:16" s="157" customFormat="1" ht="26.25" x14ac:dyDescent="0.4">
      <c r="A3" s="501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</row>
    <row r="4" spans="1:16" s="157" customFormat="1" ht="26.25" x14ac:dyDescent="0.4"/>
    <row r="5" spans="1:16" s="157" customFormat="1" ht="27" thickBot="1" x14ac:dyDescent="0.45"/>
    <row r="6" spans="1:16" s="157" customFormat="1" ht="57" customHeight="1" x14ac:dyDescent="0.4">
      <c r="A6" s="1468" t="s">
        <v>83</v>
      </c>
      <c r="B6" s="1470" t="s">
        <v>84</v>
      </c>
      <c r="C6" s="1472" t="s">
        <v>473</v>
      </c>
      <c r="D6" s="1472"/>
      <c r="E6" s="1473" t="s">
        <v>379</v>
      </c>
      <c r="F6" s="1474"/>
      <c r="G6" s="1472" t="s">
        <v>474</v>
      </c>
      <c r="H6" s="1472"/>
      <c r="I6" s="1465" t="s">
        <v>535</v>
      </c>
      <c r="J6" s="1466"/>
      <c r="K6" s="1466"/>
      <c r="L6" s="1466"/>
      <c r="M6" s="1466"/>
      <c r="N6" s="1466"/>
      <c r="O6" s="1466"/>
      <c r="P6" s="1467"/>
    </row>
    <row r="7" spans="1:16" s="157" customFormat="1" ht="63.75" customHeight="1" x14ac:dyDescent="0.4">
      <c r="A7" s="1469"/>
      <c r="B7" s="1471"/>
      <c r="C7" s="1475" t="s">
        <v>532</v>
      </c>
      <c r="D7" s="1476" t="s">
        <v>123</v>
      </c>
      <c r="E7" s="1477" t="s">
        <v>532</v>
      </c>
      <c r="F7" s="1477" t="s">
        <v>123</v>
      </c>
      <c r="G7" s="1475" t="s">
        <v>532</v>
      </c>
      <c r="H7" s="1476" t="s">
        <v>123</v>
      </c>
      <c r="I7" s="1479" t="s">
        <v>372</v>
      </c>
      <c r="J7" s="1480"/>
      <c r="K7" s="1272"/>
      <c r="L7" s="1214"/>
      <c r="M7" s="1419" t="s">
        <v>888</v>
      </c>
      <c r="N7" s="1419"/>
      <c r="O7" s="1419"/>
      <c r="P7" s="1419" t="s">
        <v>927</v>
      </c>
    </row>
    <row r="8" spans="1:16" s="157" customFormat="1" ht="62.25" customHeight="1" x14ac:dyDescent="0.4">
      <c r="A8" s="1469"/>
      <c r="B8" s="1471"/>
      <c r="C8" s="1475"/>
      <c r="D8" s="1476"/>
      <c r="E8" s="1478"/>
      <c r="F8" s="1478"/>
      <c r="G8" s="1475"/>
      <c r="H8" s="1476"/>
      <c r="I8" s="1213" t="s">
        <v>928</v>
      </c>
      <c r="J8" s="1213" t="s">
        <v>371</v>
      </c>
      <c r="K8" s="1213" t="s">
        <v>476</v>
      </c>
      <c r="L8" s="1214" t="s">
        <v>477</v>
      </c>
      <c r="M8" s="1226" t="s">
        <v>907</v>
      </c>
      <c r="N8" s="1226" t="s">
        <v>280</v>
      </c>
      <c r="O8" s="1226" t="s">
        <v>891</v>
      </c>
      <c r="P8" s="1419"/>
    </row>
    <row r="9" spans="1:16" s="336" customFormat="1" ht="27" thickBot="1" x14ac:dyDescent="0.45">
      <c r="A9" s="1227">
        <v>1</v>
      </c>
      <c r="B9" s="1228">
        <v>2</v>
      </c>
      <c r="C9" s="1227">
        <v>3</v>
      </c>
      <c r="D9" s="1228">
        <v>4</v>
      </c>
      <c r="E9" s="1227">
        <v>5</v>
      </c>
      <c r="F9" s="1228">
        <v>6</v>
      </c>
      <c r="G9" s="1227">
        <v>7</v>
      </c>
      <c r="H9" s="1228">
        <v>8</v>
      </c>
      <c r="I9" s="1227">
        <v>9</v>
      </c>
      <c r="J9" s="1228">
        <v>10</v>
      </c>
      <c r="K9" s="1227">
        <v>11</v>
      </c>
      <c r="L9" s="1228">
        <v>12</v>
      </c>
      <c r="M9" s="1227">
        <v>13</v>
      </c>
      <c r="N9" s="1228">
        <v>14</v>
      </c>
      <c r="O9" s="1227">
        <v>15</v>
      </c>
      <c r="P9" s="1228">
        <v>16</v>
      </c>
    </row>
    <row r="10" spans="1:16" ht="76.5" x14ac:dyDescent="0.2">
      <c r="A10" s="337" t="e">
        <f>#REF!</f>
        <v>#REF!</v>
      </c>
      <c r="B10" s="337" t="e">
        <f>#REF!</f>
        <v>#REF!</v>
      </c>
      <c r="C10" s="360" t="e">
        <f>#REF!</f>
        <v>#REF!</v>
      </c>
      <c r="D10" s="360" t="e">
        <f>#REF!</f>
        <v>#REF!</v>
      </c>
      <c r="E10" s="475" t="e">
        <f>#REF!</f>
        <v>#REF!</v>
      </c>
      <c r="F10" s="475" t="e">
        <f>#REF!</f>
        <v>#REF!</v>
      </c>
      <c r="G10" s="366" t="e">
        <f>#REF!</f>
        <v>#REF!</v>
      </c>
      <c r="H10" s="366" t="e">
        <f>#REF!</f>
        <v>#REF!</v>
      </c>
      <c r="I10" s="360" t="e">
        <f>D10-C10</f>
        <v>#REF!</v>
      </c>
      <c r="J10" s="1282" t="e">
        <f>D10/C10</f>
        <v>#REF!</v>
      </c>
      <c r="K10" s="366" t="e">
        <f>H10-G10</f>
        <v>#REF!</v>
      </c>
      <c r="L10" s="367" t="e">
        <f>H10/G10</f>
        <v>#REF!</v>
      </c>
      <c r="M10" s="366" t="e">
        <f>#REF!</f>
        <v>#REF!</v>
      </c>
      <c r="N10" s="366" t="e">
        <f>#REF!</f>
        <v>#REF!</v>
      </c>
      <c r="O10" s="366" t="e">
        <f>#REF!</f>
        <v>#REF!</v>
      </c>
      <c r="P10" s="366" t="e">
        <f>#REF!</f>
        <v>#REF!</v>
      </c>
    </row>
    <row r="11" spans="1:16" ht="76.5" x14ac:dyDescent="0.2">
      <c r="A11" s="1232" t="e">
        <f>#REF!</f>
        <v>#REF!</v>
      </c>
      <c r="B11" s="1233" t="e">
        <f>#REF!</f>
        <v>#REF!</v>
      </c>
      <c r="C11" s="1233" t="e">
        <f>#REF!</f>
        <v>#REF!</v>
      </c>
      <c r="D11" s="1233" t="e">
        <f>#REF!</f>
        <v>#REF!</v>
      </c>
      <c r="E11" s="1233" t="e">
        <f>#REF!</f>
        <v>#REF!</v>
      </c>
      <c r="F11" s="1233" t="e">
        <f>#REF!</f>
        <v>#REF!</v>
      </c>
      <c r="G11" s="1233" t="e">
        <f>#REF!</f>
        <v>#REF!</v>
      </c>
      <c r="H11" s="1233" t="e">
        <f>#REF!</f>
        <v>#REF!</v>
      </c>
      <c r="I11" s="1233" t="e">
        <f>#REF!</f>
        <v>#REF!</v>
      </c>
      <c r="J11" s="1233"/>
      <c r="K11" s="1233" t="e">
        <f>#REF!</f>
        <v>#REF!</v>
      </c>
      <c r="L11" s="1233" t="e">
        <f>#REF!</f>
        <v>#REF!</v>
      </c>
      <c r="M11" s="1233" t="e">
        <f>#REF!</f>
        <v>#REF!</v>
      </c>
      <c r="N11" s="1233" t="e">
        <f>#REF!</f>
        <v>#REF!</v>
      </c>
      <c r="O11" s="1233" t="e">
        <f>#REF!</f>
        <v>#REF!</v>
      </c>
      <c r="P11" s="1233" t="e">
        <f>#REF!</f>
        <v>#REF!</v>
      </c>
    </row>
    <row r="12" spans="1:16" ht="51" x14ac:dyDescent="0.2">
      <c r="A12" s="1232" t="e">
        <f>#REF!</f>
        <v>#REF!</v>
      </c>
      <c r="B12" s="1234" t="e">
        <f>#REF!</f>
        <v>#REF!</v>
      </c>
      <c r="C12" s="1235" t="e">
        <f>#REF!</f>
        <v>#REF!</v>
      </c>
      <c r="D12" s="1235" t="e">
        <f>#REF!</f>
        <v>#REF!</v>
      </c>
      <c r="E12" s="1236" t="e">
        <f>#REF!</f>
        <v>#REF!</v>
      </c>
      <c r="F12" s="1236" t="e">
        <f>#REF!</f>
        <v>#REF!</v>
      </c>
      <c r="G12" s="1237" t="e">
        <f>#REF!</f>
        <v>#REF!</v>
      </c>
      <c r="H12" s="1237" t="e">
        <f>#REF!</f>
        <v>#REF!</v>
      </c>
      <c r="I12" s="1235" t="e">
        <f t="shared" ref="I12:I75" si="0">D12-C12</f>
        <v>#REF!</v>
      </c>
      <c r="J12" s="1273" t="e">
        <f t="shared" ref="J12:J76" si="1">D12/C12</f>
        <v>#REF!</v>
      </c>
      <c r="K12" s="1237" t="e">
        <f t="shared" ref="K12:K75" si="2">H12-G12</f>
        <v>#REF!</v>
      </c>
      <c r="L12" s="1238" t="e">
        <f t="shared" ref="L12:L75" si="3">H12/G12</f>
        <v>#REF!</v>
      </c>
      <c r="M12" s="1237" t="e">
        <f>#REF!</f>
        <v>#REF!</v>
      </c>
      <c r="N12" s="1237" t="e">
        <f>#REF!</f>
        <v>#REF!</v>
      </c>
      <c r="O12" s="1237" t="e">
        <f>#REF!</f>
        <v>#REF!</v>
      </c>
      <c r="P12" s="1237" t="e">
        <f>#REF!</f>
        <v>#REF!</v>
      </c>
    </row>
    <row r="13" spans="1:16" ht="76.5" x14ac:dyDescent="0.2">
      <c r="A13" s="1232" t="e">
        <f>#REF!</f>
        <v>#REF!</v>
      </c>
      <c r="B13" s="1232" t="e">
        <f>#REF!</f>
        <v>#REF!</v>
      </c>
      <c r="C13" s="1235" t="e">
        <f>#REF!</f>
        <v>#REF!</v>
      </c>
      <c r="D13" s="1235" t="e">
        <f>#REF!</f>
        <v>#REF!</v>
      </c>
      <c r="E13" s="1236" t="e">
        <f>#REF!</f>
        <v>#REF!</v>
      </c>
      <c r="F13" s="1236" t="e">
        <f>#REF!</f>
        <v>#REF!</v>
      </c>
      <c r="G13" s="1237" t="e">
        <f>#REF!</f>
        <v>#REF!</v>
      </c>
      <c r="H13" s="1237" t="e">
        <f>#REF!</f>
        <v>#REF!</v>
      </c>
      <c r="I13" s="1235" t="e">
        <f t="shared" si="0"/>
        <v>#REF!</v>
      </c>
      <c r="J13" s="1273" t="e">
        <f t="shared" si="1"/>
        <v>#REF!</v>
      </c>
      <c r="K13" s="1237" t="e">
        <f t="shared" si="2"/>
        <v>#REF!</v>
      </c>
      <c r="L13" s="1238" t="e">
        <f t="shared" si="3"/>
        <v>#REF!</v>
      </c>
      <c r="M13" s="1237" t="e">
        <f>#REF!</f>
        <v>#REF!</v>
      </c>
      <c r="N13" s="1237" t="e">
        <f>#REF!</f>
        <v>#REF!</v>
      </c>
      <c r="O13" s="1237" t="e">
        <f>#REF!</f>
        <v>#REF!</v>
      </c>
      <c r="P13" s="1237" t="e">
        <f>#REF!</f>
        <v>#REF!</v>
      </c>
    </row>
    <row r="14" spans="1:16" ht="51" x14ac:dyDescent="0.2">
      <c r="A14" s="1232" t="e">
        <f>#REF!</f>
        <v>#REF!</v>
      </c>
      <c r="B14" s="1232" t="e">
        <f>#REF!</f>
        <v>#REF!</v>
      </c>
      <c r="C14" s="1235" t="e">
        <f>#REF!</f>
        <v>#REF!</v>
      </c>
      <c r="D14" s="1235" t="e">
        <f>#REF!</f>
        <v>#REF!</v>
      </c>
      <c r="E14" s="1236" t="e">
        <f>#REF!</f>
        <v>#REF!</v>
      </c>
      <c r="F14" s="1236" t="e">
        <f>#REF!</f>
        <v>#REF!</v>
      </c>
      <c r="G14" s="1237" t="e">
        <f>#REF!</f>
        <v>#REF!</v>
      </c>
      <c r="H14" s="1237" t="e">
        <f>#REF!</f>
        <v>#REF!</v>
      </c>
      <c r="I14" s="1235" t="e">
        <f t="shared" si="0"/>
        <v>#REF!</v>
      </c>
      <c r="J14" s="1273" t="e">
        <f t="shared" si="1"/>
        <v>#REF!</v>
      </c>
      <c r="K14" s="1237" t="e">
        <f t="shared" si="2"/>
        <v>#REF!</v>
      </c>
      <c r="L14" s="1238" t="e">
        <f t="shared" si="3"/>
        <v>#REF!</v>
      </c>
      <c r="M14" s="1237" t="e">
        <f>#REF!</f>
        <v>#REF!</v>
      </c>
      <c r="N14" s="1237" t="e">
        <f>#REF!</f>
        <v>#REF!</v>
      </c>
      <c r="O14" s="1237" t="e">
        <f>#REF!</f>
        <v>#REF!</v>
      </c>
      <c r="P14" s="1237" t="e">
        <f>#REF!</f>
        <v>#REF!</v>
      </c>
    </row>
    <row r="15" spans="1:16" ht="52.5" x14ac:dyDescent="0.2">
      <c r="A15" s="1239" t="e">
        <f>#REF!</f>
        <v>#REF!</v>
      </c>
      <c r="B15" s="1239" t="e">
        <f>#REF!</f>
        <v>#REF!</v>
      </c>
      <c r="C15" s="1240" t="e">
        <f>#REF!</f>
        <v>#REF!</v>
      </c>
      <c r="D15" s="1240" t="e">
        <f>#REF!</f>
        <v>#REF!</v>
      </c>
      <c r="E15" s="1236" t="e">
        <f>#REF!</f>
        <v>#REF!</v>
      </c>
      <c r="F15" s="1236" t="e">
        <f>#REF!</f>
        <v>#REF!</v>
      </c>
      <c r="G15" s="1241" t="e">
        <f>#REF!</f>
        <v>#REF!</v>
      </c>
      <c r="H15" s="1241" t="e">
        <f>#REF!</f>
        <v>#REF!</v>
      </c>
      <c r="I15" s="1240" t="e">
        <f t="shared" si="0"/>
        <v>#REF!</v>
      </c>
      <c r="J15" s="1274" t="e">
        <f t="shared" si="1"/>
        <v>#REF!</v>
      </c>
      <c r="K15" s="1241" t="e">
        <f t="shared" si="2"/>
        <v>#REF!</v>
      </c>
      <c r="L15" s="1238" t="e">
        <f t="shared" si="3"/>
        <v>#REF!</v>
      </c>
      <c r="M15" s="1241" t="e">
        <f>#REF!</f>
        <v>#REF!</v>
      </c>
      <c r="N15" s="1241" t="e">
        <f>#REF!</f>
        <v>#REF!</v>
      </c>
      <c r="O15" s="1241" t="e">
        <f>#REF!</f>
        <v>#REF!</v>
      </c>
      <c r="P15" s="1237" t="e">
        <f>#REF!</f>
        <v>#REF!</v>
      </c>
    </row>
    <row r="16" spans="1:16" ht="76.5" x14ac:dyDescent="0.2">
      <c r="A16" s="412" t="e">
        <f>#REF!</f>
        <v>#REF!</v>
      </c>
      <c r="B16" s="412" t="e">
        <f>#REF!</f>
        <v>#REF!</v>
      </c>
      <c r="C16" s="1235" t="e">
        <f>#REF!</f>
        <v>#REF!</v>
      </c>
      <c r="D16" s="1235" t="e">
        <f>#REF!</f>
        <v>#REF!</v>
      </c>
      <c r="E16" s="1236" t="e">
        <f>#REF!</f>
        <v>#REF!</v>
      </c>
      <c r="F16" s="1236" t="e">
        <f>#REF!</f>
        <v>#REF!</v>
      </c>
      <c r="G16" s="1237" t="e">
        <f>#REF!</f>
        <v>#REF!</v>
      </c>
      <c r="H16" s="1237" t="e">
        <f>#REF!</f>
        <v>#REF!</v>
      </c>
      <c r="I16" s="1235" t="e">
        <f t="shared" si="0"/>
        <v>#REF!</v>
      </c>
      <c r="J16" s="1274"/>
      <c r="K16" s="1237" t="e">
        <f t="shared" si="2"/>
        <v>#REF!</v>
      </c>
      <c r="L16" s="1238"/>
      <c r="M16" s="1237" t="e">
        <f>#REF!</f>
        <v>#REF!</v>
      </c>
      <c r="N16" s="1237" t="e">
        <f>#REF!</f>
        <v>#REF!</v>
      </c>
      <c r="O16" s="1237" t="e">
        <f>#REF!</f>
        <v>#REF!</v>
      </c>
      <c r="P16" s="1237" t="e">
        <f>#REF!</f>
        <v>#REF!</v>
      </c>
    </row>
    <row r="17" spans="1:16" ht="52.5" x14ac:dyDescent="0.2">
      <c r="A17" s="1239" t="e">
        <f>#REF!</f>
        <v>#REF!</v>
      </c>
      <c r="B17" s="1239" t="e">
        <f>#REF!</f>
        <v>#REF!</v>
      </c>
      <c r="C17" s="1240" t="e">
        <f>#REF!</f>
        <v>#REF!</v>
      </c>
      <c r="D17" s="1240" t="e">
        <f>#REF!</f>
        <v>#REF!</v>
      </c>
      <c r="E17" s="1236" t="e">
        <f>#REF!</f>
        <v>#REF!</v>
      </c>
      <c r="F17" s="1236" t="e">
        <f>#REF!</f>
        <v>#REF!</v>
      </c>
      <c r="G17" s="1241" t="e">
        <f>#REF!</f>
        <v>#REF!</v>
      </c>
      <c r="H17" s="1241" t="e">
        <f>#REF!</f>
        <v>#REF!</v>
      </c>
      <c r="I17" s="1240" t="e">
        <f t="shared" si="0"/>
        <v>#REF!</v>
      </c>
      <c r="J17" s="1274"/>
      <c r="K17" s="1241" t="e">
        <f t="shared" si="2"/>
        <v>#REF!</v>
      </c>
      <c r="L17" s="1238"/>
      <c r="M17" s="1241" t="e">
        <f>#REF!</f>
        <v>#REF!</v>
      </c>
      <c r="N17" s="1241" t="e">
        <f>#REF!</f>
        <v>#REF!</v>
      </c>
      <c r="O17" s="1241" t="e">
        <f>#REF!</f>
        <v>#REF!</v>
      </c>
      <c r="P17" s="1237" t="e">
        <f>#REF!</f>
        <v>#REF!</v>
      </c>
    </row>
    <row r="18" spans="1:16" ht="52.5" x14ac:dyDescent="0.2">
      <c r="A18" s="1239" t="e">
        <f>#REF!</f>
        <v>#REF!</v>
      </c>
      <c r="B18" s="1239" t="e">
        <f>#REF!</f>
        <v>#REF!</v>
      </c>
      <c r="C18" s="1240" t="e">
        <f>#REF!</f>
        <v>#REF!</v>
      </c>
      <c r="D18" s="1240" t="e">
        <f>#REF!</f>
        <v>#REF!</v>
      </c>
      <c r="E18" s="1236" t="e">
        <f>#REF!</f>
        <v>#REF!</v>
      </c>
      <c r="F18" s="1236" t="e">
        <f>#REF!</f>
        <v>#REF!</v>
      </c>
      <c r="G18" s="1241" t="e">
        <f>#REF!</f>
        <v>#REF!</v>
      </c>
      <c r="H18" s="1241" t="e">
        <f>#REF!</f>
        <v>#REF!</v>
      </c>
      <c r="I18" s="1240" t="e">
        <f t="shared" si="0"/>
        <v>#REF!</v>
      </c>
      <c r="J18" s="1274"/>
      <c r="K18" s="1241" t="e">
        <f t="shared" si="2"/>
        <v>#REF!</v>
      </c>
      <c r="L18" s="1238"/>
      <c r="M18" s="1241" t="e">
        <f>#REF!</f>
        <v>#REF!</v>
      </c>
      <c r="N18" s="1241" t="e">
        <f>#REF!</f>
        <v>#REF!</v>
      </c>
      <c r="O18" s="1241" t="e">
        <f>#REF!</f>
        <v>#REF!</v>
      </c>
      <c r="P18" s="1237" t="e">
        <f>#REF!</f>
        <v>#REF!</v>
      </c>
    </row>
    <row r="19" spans="1:16" ht="30" x14ac:dyDescent="0.2">
      <c r="A19" s="1232" t="e">
        <f>#REF!</f>
        <v>#REF!</v>
      </c>
      <c r="B19" s="1232" t="e">
        <f>#REF!</f>
        <v>#REF!</v>
      </c>
      <c r="C19" s="1235" t="e">
        <f>#REF!</f>
        <v>#REF!</v>
      </c>
      <c r="D19" s="1235" t="e">
        <f>#REF!</f>
        <v>#REF!</v>
      </c>
      <c r="E19" s="1236" t="e">
        <f>#REF!</f>
        <v>#REF!</v>
      </c>
      <c r="F19" s="1236" t="e">
        <f>#REF!</f>
        <v>#REF!</v>
      </c>
      <c r="G19" s="1237" t="e">
        <f>#REF!</f>
        <v>#REF!</v>
      </c>
      <c r="H19" s="1237" t="e">
        <f>#REF!</f>
        <v>#REF!</v>
      </c>
      <c r="I19" s="1235" t="e">
        <f t="shared" si="0"/>
        <v>#REF!</v>
      </c>
      <c r="J19" s="1273" t="e">
        <f t="shared" si="1"/>
        <v>#REF!</v>
      </c>
      <c r="K19" s="1237" t="e">
        <f t="shared" si="2"/>
        <v>#REF!</v>
      </c>
      <c r="L19" s="1238" t="e">
        <f t="shared" si="3"/>
        <v>#REF!</v>
      </c>
      <c r="M19" s="1237" t="e">
        <f>#REF!</f>
        <v>#REF!</v>
      </c>
      <c r="N19" s="1237" t="e">
        <f>#REF!</f>
        <v>#REF!</v>
      </c>
      <c r="O19" s="1237" t="e">
        <f>#REF!</f>
        <v>#REF!</v>
      </c>
      <c r="P19" s="1237" t="e">
        <f>#REF!</f>
        <v>#REF!</v>
      </c>
    </row>
    <row r="20" spans="1:16" ht="30" x14ac:dyDescent="0.2">
      <c r="A20" s="1232" t="e">
        <f>#REF!</f>
        <v>#REF!</v>
      </c>
      <c r="B20" s="1232" t="e">
        <f>#REF!</f>
        <v>#REF!</v>
      </c>
      <c r="C20" s="1235" t="e">
        <f>#REF!</f>
        <v>#REF!</v>
      </c>
      <c r="D20" s="1235" t="e">
        <f>#REF!</f>
        <v>#REF!</v>
      </c>
      <c r="E20" s="1236" t="e">
        <f>#REF!</f>
        <v>#REF!</v>
      </c>
      <c r="F20" s="1236" t="e">
        <f>#REF!</f>
        <v>#REF!</v>
      </c>
      <c r="G20" s="1237" t="e">
        <f>#REF!</f>
        <v>#REF!</v>
      </c>
      <c r="H20" s="1237" t="e">
        <f>#REF!</f>
        <v>#REF!</v>
      </c>
      <c r="I20" s="1235" t="e">
        <f t="shared" si="0"/>
        <v>#REF!</v>
      </c>
      <c r="J20" s="1273" t="e">
        <f t="shared" si="1"/>
        <v>#REF!</v>
      </c>
      <c r="K20" s="1237" t="e">
        <f t="shared" si="2"/>
        <v>#REF!</v>
      </c>
      <c r="L20" s="1238" t="e">
        <f t="shared" si="3"/>
        <v>#REF!</v>
      </c>
      <c r="M20" s="1237" t="e">
        <f>#REF!</f>
        <v>#REF!</v>
      </c>
      <c r="N20" s="1237" t="e">
        <f>#REF!</f>
        <v>#REF!</v>
      </c>
      <c r="O20" s="1237" t="e">
        <f>#REF!</f>
        <v>#REF!</v>
      </c>
      <c r="P20" s="1237" t="e">
        <f>#REF!</f>
        <v>#REF!</v>
      </c>
    </row>
    <row r="21" spans="1:16" ht="30" x14ac:dyDescent="0.2">
      <c r="A21" s="1232" t="e">
        <f>#REF!</f>
        <v>#REF!</v>
      </c>
      <c r="B21" s="1232" t="e">
        <f>#REF!</f>
        <v>#REF!</v>
      </c>
      <c r="C21" s="1235" t="e">
        <f>#REF!</f>
        <v>#REF!</v>
      </c>
      <c r="D21" s="1235" t="e">
        <f>#REF!</f>
        <v>#REF!</v>
      </c>
      <c r="E21" s="1236" t="e">
        <f>#REF!</f>
        <v>#REF!</v>
      </c>
      <c r="F21" s="1236" t="e">
        <f>#REF!</f>
        <v>#REF!</v>
      </c>
      <c r="G21" s="1237" t="e">
        <f>#REF!</f>
        <v>#REF!</v>
      </c>
      <c r="H21" s="1237" t="e">
        <f>#REF!</f>
        <v>#REF!</v>
      </c>
      <c r="I21" s="1235" t="e">
        <f t="shared" si="0"/>
        <v>#REF!</v>
      </c>
      <c r="J21" s="1273" t="e">
        <f t="shared" si="1"/>
        <v>#REF!</v>
      </c>
      <c r="K21" s="1237" t="e">
        <f t="shared" si="2"/>
        <v>#REF!</v>
      </c>
      <c r="L21" s="1238" t="e">
        <f t="shared" si="3"/>
        <v>#REF!</v>
      </c>
      <c r="M21" s="1237" t="e">
        <f>#REF!</f>
        <v>#REF!</v>
      </c>
      <c r="N21" s="1237" t="e">
        <f>#REF!</f>
        <v>#REF!</v>
      </c>
      <c r="O21" s="1237" t="e">
        <f>#REF!</f>
        <v>#REF!</v>
      </c>
      <c r="P21" s="1237" t="e">
        <f>#REF!</f>
        <v>#REF!</v>
      </c>
    </row>
    <row r="22" spans="1:16" ht="87.75" customHeight="1" x14ac:dyDescent="0.2">
      <c r="A22" s="1232" t="e">
        <f>#REF!</f>
        <v>#REF!</v>
      </c>
      <c r="B22" s="1232" t="e">
        <f>#REF!</f>
        <v>#REF!</v>
      </c>
      <c r="C22" s="1235" t="e">
        <f>#REF!</f>
        <v>#REF!</v>
      </c>
      <c r="D22" s="1235" t="e">
        <f>#REF!</f>
        <v>#REF!</v>
      </c>
      <c r="E22" s="1236" t="e">
        <f>#REF!</f>
        <v>#REF!</v>
      </c>
      <c r="F22" s="1236" t="e">
        <f>#REF!</f>
        <v>#REF!</v>
      </c>
      <c r="G22" s="1237" t="e">
        <f>#REF!</f>
        <v>#REF!</v>
      </c>
      <c r="H22" s="1237" t="e">
        <f>#REF!</f>
        <v>#REF!</v>
      </c>
      <c r="I22" s="1235" t="e">
        <f t="shared" si="0"/>
        <v>#REF!</v>
      </c>
      <c r="J22" s="1273"/>
      <c r="K22" s="1237" t="e">
        <f t="shared" si="2"/>
        <v>#REF!</v>
      </c>
      <c r="L22" s="1238"/>
      <c r="M22" s="1237" t="e">
        <f>#REF!</f>
        <v>#REF!</v>
      </c>
      <c r="N22" s="1237" t="e">
        <f>#REF!</f>
        <v>#REF!</v>
      </c>
      <c r="O22" s="1237" t="e">
        <f>#REF!</f>
        <v>#REF!</v>
      </c>
      <c r="P22" s="1237" t="e">
        <f>#REF!</f>
        <v>#REF!</v>
      </c>
    </row>
    <row r="23" spans="1:16" ht="30.75" x14ac:dyDescent="0.2">
      <c r="A23" s="1242" t="e">
        <f>#REF!</f>
        <v>#REF!</v>
      </c>
      <c r="B23" s="1242" t="e">
        <f>#REF!</f>
        <v>#REF!</v>
      </c>
      <c r="C23" s="1240" t="e">
        <f>#REF!</f>
        <v>#REF!</v>
      </c>
      <c r="D23" s="1240" t="e">
        <f>#REF!</f>
        <v>#REF!</v>
      </c>
      <c r="E23" s="1236" t="e">
        <f>#REF!</f>
        <v>#REF!</v>
      </c>
      <c r="F23" s="1236" t="e">
        <f>#REF!</f>
        <v>#REF!</v>
      </c>
      <c r="G23" s="1241" t="e">
        <f>#REF!</f>
        <v>#REF!</v>
      </c>
      <c r="H23" s="1241" t="e">
        <f>#REF!</f>
        <v>#REF!</v>
      </c>
      <c r="I23" s="1240" t="e">
        <f t="shared" si="0"/>
        <v>#REF!</v>
      </c>
      <c r="J23" s="1274" t="e">
        <f t="shared" si="1"/>
        <v>#REF!</v>
      </c>
      <c r="K23" s="1241" t="e">
        <f t="shared" si="2"/>
        <v>#REF!</v>
      </c>
      <c r="L23" s="1243" t="e">
        <f t="shared" si="3"/>
        <v>#REF!</v>
      </c>
      <c r="M23" s="1241" t="e">
        <f>#REF!</f>
        <v>#REF!</v>
      </c>
      <c r="N23" s="1241" t="e">
        <f>#REF!</f>
        <v>#REF!</v>
      </c>
      <c r="O23" s="1241" t="e">
        <f>#REF!</f>
        <v>#REF!</v>
      </c>
      <c r="P23" s="1241" t="e">
        <f>#REF!</f>
        <v>#REF!</v>
      </c>
    </row>
    <row r="24" spans="1:16" ht="30.75" x14ac:dyDescent="0.2">
      <c r="A24" s="1242" t="e">
        <f>#REF!</f>
        <v>#REF!</v>
      </c>
      <c r="B24" s="1242" t="e">
        <f>#REF!</f>
        <v>#REF!</v>
      </c>
      <c r="C24" s="1240" t="e">
        <f>#REF!</f>
        <v>#REF!</v>
      </c>
      <c r="D24" s="1240" t="e">
        <f>#REF!</f>
        <v>#REF!</v>
      </c>
      <c r="E24" s="1236" t="e">
        <f>#REF!</f>
        <v>#REF!</v>
      </c>
      <c r="F24" s="1236" t="e">
        <f>#REF!</f>
        <v>#REF!</v>
      </c>
      <c r="G24" s="1241" t="e">
        <f>#REF!</f>
        <v>#REF!</v>
      </c>
      <c r="H24" s="1241" t="e">
        <f>#REF!</f>
        <v>#REF!</v>
      </c>
      <c r="I24" s="1240" t="e">
        <f t="shared" si="0"/>
        <v>#REF!</v>
      </c>
      <c r="J24" s="1274" t="e">
        <f t="shared" si="1"/>
        <v>#REF!</v>
      </c>
      <c r="K24" s="1241" t="e">
        <f t="shared" si="2"/>
        <v>#REF!</v>
      </c>
      <c r="L24" s="1243" t="e">
        <f t="shared" si="3"/>
        <v>#REF!</v>
      </c>
      <c r="M24" s="1241" t="e">
        <f>#REF!</f>
        <v>#REF!</v>
      </c>
      <c r="N24" s="1241" t="e">
        <f>#REF!</f>
        <v>#REF!</v>
      </c>
      <c r="O24" s="1241" t="e">
        <f>#REF!</f>
        <v>#REF!</v>
      </c>
      <c r="P24" s="1241" t="e">
        <f>#REF!</f>
        <v>#REF!</v>
      </c>
    </row>
    <row r="25" spans="1:16" ht="52.5" x14ac:dyDescent="0.2">
      <c r="A25" s="1242" t="e">
        <f>#REF!</f>
        <v>#REF!</v>
      </c>
      <c r="B25" s="1242" t="e">
        <f>#REF!</f>
        <v>#REF!</v>
      </c>
      <c r="C25" s="1240" t="e">
        <f>#REF!</f>
        <v>#REF!</v>
      </c>
      <c r="D25" s="1240" t="e">
        <f>#REF!</f>
        <v>#REF!</v>
      </c>
      <c r="E25" s="1236" t="e">
        <f>#REF!</f>
        <v>#REF!</v>
      </c>
      <c r="F25" s="1236" t="e">
        <f>#REF!</f>
        <v>#REF!</v>
      </c>
      <c r="G25" s="1241" t="e">
        <f>#REF!</f>
        <v>#REF!</v>
      </c>
      <c r="H25" s="1241" t="e">
        <f>#REF!</f>
        <v>#REF!</v>
      </c>
      <c r="I25" s="1240" t="e">
        <f t="shared" si="0"/>
        <v>#REF!</v>
      </c>
      <c r="J25" s="1274" t="e">
        <f t="shared" si="1"/>
        <v>#REF!</v>
      </c>
      <c r="K25" s="1241" t="e">
        <f t="shared" si="2"/>
        <v>#REF!</v>
      </c>
      <c r="L25" s="1243" t="e">
        <f t="shared" si="3"/>
        <v>#REF!</v>
      </c>
      <c r="M25" s="1241" t="e">
        <f>#REF!</f>
        <v>#REF!</v>
      </c>
      <c r="N25" s="1241" t="e">
        <f>#REF!</f>
        <v>#REF!</v>
      </c>
      <c r="O25" s="1241" t="e">
        <f>#REF!</f>
        <v>#REF!</v>
      </c>
      <c r="P25" s="1241" t="e">
        <f>#REF!</f>
        <v>#REF!</v>
      </c>
    </row>
    <row r="26" spans="1:16" ht="52.5" x14ac:dyDescent="0.2">
      <c r="A26" s="1242" t="e">
        <f>#REF!</f>
        <v>#REF!</v>
      </c>
      <c r="B26" s="1242" t="e">
        <f>#REF!</f>
        <v>#REF!</v>
      </c>
      <c r="C26" s="1240" t="e">
        <f>#REF!</f>
        <v>#REF!</v>
      </c>
      <c r="D26" s="1240" t="e">
        <f>#REF!</f>
        <v>#REF!</v>
      </c>
      <c r="E26" s="1236" t="e">
        <f>#REF!</f>
        <v>#REF!</v>
      </c>
      <c r="F26" s="1236" t="e">
        <f>#REF!</f>
        <v>#REF!</v>
      </c>
      <c r="G26" s="1241" t="e">
        <f>#REF!</f>
        <v>#REF!</v>
      </c>
      <c r="H26" s="1241" t="e">
        <f>#REF!</f>
        <v>#REF!</v>
      </c>
      <c r="I26" s="1240" t="e">
        <f t="shared" si="0"/>
        <v>#REF!</v>
      </c>
      <c r="J26" s="1274" t="e">
        <f t="shared" si="1"/>
        <v>#REF!</v>
      </c>
      <c r="K26" s="1241" t="e">
        <f t="shared" si="2"/>
        <v>#REF!</v>
      </c>
      <c r="L26" s="1243" t="e">
        <f t="shared" si="3"/>
        <v>#REF!</v>
      </c>
      <c r="M26" s="1241" t="e">
        <f>#REF!</f>
        <v>#REF!</v>
      </c>
      <c r="N26" s="1241" t="e">
        <f>#REF!</f>
        <v>#REF!</v>
      </c>
      <c r="O26" s="1241" t="e">
        <f>#REF!</f>
        <v>#REF!</v>
      </c>
      <c r="P26" s="1241" t="e">
        <f>#REF!</f>
        <v>#REF!</v>
      </c>
    </row>
    <row r="27" spans="1:16" ht="78.75" x14ac:dyDescent="0.2">
      <c r="A27" s="1242" t="e">
        <f>#REF!</f>
        <v>#REF!</v>
      </c>
      <c r="B27" s="1242" t="e">
        <f>#REF!</f>
        <v>#REF!</v>
      </c>
      <c r="C27" s="1240" t="e">
        <f>#REF!</f>
        <v>#REF!</v>
      </c>
      <c r="D27" s="1240" t="e">
        <f>#REF!</f>
        <v>#REF!</v>
      </c>
      <c r="E27" s="1236" t="e">
        <f>#REF!</f>
        <v>#REF!</v>
      </c>
      <c r="F27" s="1236" t="e">
        <f>#REF!</f>
        <v>#REF!</v>
      </c>
      <c r="G27" s="1241" t="e">
        <f>#REF!</f>
        <v>#REF!</v>
      </c>
      <c r="H27" s="1241" t="e">
        <f>#REF!</f>
        <v>#REF!</v>
      </c>
      <c r="I27" s="1240" t="e">
        <f t="shared" si="0"/>
        <v>#REF!</v>
      </c>
      <c r="J27" s="1274" t="e">
        <f t="shared" si="1"/>
        <v>#REF!</v>
      </c>
      <c r="K27" s="1241" t="e">
        <f t="shared" si="2"/>
        <v>#REF!</v>
      </c>
      <c r="L27" s="1243" t="e">
        <f t="shared" si="3"/>
        <v>#REF!</v>
      </c>
      <c r="M27" s="1241" t="e">
        <f>#REF!</f>
        <v>#REF!</v>
      </c>
      <c r="N27" s="1241" t="e">
        <f>#REF!</f>
        <v>#REF!</v>
      </c>
      <c r="O27" s="1241" t="e">
        <f>#REF!</f>
        <v>#REF!</v>
      </c>
      <c r="P27" s="1241" t="e">
        <f>#REF!</f>
        <v>#REF!</v>
      </c>
    </row>
    <row r="28" spans="1:16" ht="131.25" x14ac:dyDescent="0.2">
      <c r="A28" s="1242" t="e">
        <f>#REF!</f>
        <v>#REF!</v>
      </c>
      <c r="B28" s="1242" t="e">
        <f>#REF!</f>
        <v>#REF!</v>
      </c>
      <c r="C28" s="1240" t="e">
        <f>#REF!</f>
        <v>#REF!</v>
      </c>
      <c r="D28" s="1240" t="e">
        <f>#REF!</f>
        <v>#REF!</v>
      </c>
      <c r="E28" s="1236" t="e">
        <f>#REF!</f>
        <v>#REF!</v>
      </c>
      <c r="F28" s="1236" t="e">
        <f>#REF!</f>
        <v>#REF!</v>
      </c>
      <c r="G28" s="1241" t="e">
        <f>#REF!</f>
        <v>#REF!</v>
      </c>
      <c r="H28" s="1241" t="e">
        <f>#REF!</f>
        <v>#REF!</v>
      </c>
      <c r="I28" s="1240" t="e">
        <f t="shared" si="0"/>
        <v>#REF!</v>
      </c>
      <c r="J28" s="1274" t="e">
        <f t="shared" si="1"/>
        <v>#REF!</v>
      </c>
      <c r="K28" s="1241" t="e">
        <f t="shared" si="2"/>
        <v>#REF!</v>
      </c>
      <c r="L28" s="1243" t="e">
        <f t="shared" si="3"/>
        <v>#REF!</v>
      </c>
      <c r="M28" s="1241" t="e">
        <f>#REF!</f>
        <v>#REF!</v>
      </c>
      <c r="N28" s="1241" t="e">
        <f>#REF!</f>
        <v>#REF!</v>
      </c>
      <c r="O28" s="1241" t="e">
        <f>#REF!</f>
        <v>#REF!</v>
      </c>
      <c r="P28" s="1241" t="e">
        <f>#REF!</f>
        <v>#REF!</v>
      </c>
    </row>
    <row r="29" spans="1:16" ht="51.75" customHeight="1" x14ac:dyDescent="0.2">
      <c r="A29" s="950" t="e">
        <f>#REF!</f>
        <v>#REF!</v>
      </c>
      <c r="B29" s="950" t="e">
        <f>#REF!</f>
        <v>#REF!</v>
      </c>
      <c r="C29" s="1287" t="e">
        <f>#REF!</f>
        <v>#REF!</v>
      </c>
      <c r="D29" s="1287" t="e">
        <f>#REF!</f>
        <v>#REF!</v>
      </c>
      <c r="E29" s="1288" t="e">
        <f>#REF!</f>
        <v>#REF!</v>
      </c>
      <c r="F29" s="1288" t="e">
        <f>#REF!</f>
        <v>#REF!</v>
      </c>
      <c r="G29" s="1289" t="e">
        <f>#REF!</f>
        <v>#REF!</v>
      </c>
      <c r="H29" s="1289" t="e">
        <f>#REF!</f>
        <v>#REF!</v>
      </c>
      <c r="I29" s="1287" t="e">
        <f t="shared" si="0"/>
        <v>#REF!</v>
      </c>
      <c r="J29" s="1290"/>
      <c r="K29" s="1289" t="e">
        <f t="shared" si="2"/>
        <v>#REF!</v>
      </c>
      <c r="L29" s="1291"/>
      <c r="M29" s="1289" t="e">
        <f>#REF!</f>
        <v>#REF!</v>
      </c>
      <c r="N29" s="1289" t="e">
        <f>#REF!</f>
        <v>#REF!</v>
      </c>
      <c r="O29" s="1289" t="e">
        <f>#REF!</f>
        <v>#REF!</v>
      </c>
      <c r="P29" s="1289" t="e">
        <f>#REF!</f>
        <v>#REF!</v>
      </c>
    </row>
    <row r="30" spans="1:16" ht="30.75" x14ac:dyDescent="0.2">
      <c r="A30" s="950" t="e">
        <f>#REF!</f>
        <v>#REF!</v>
      </c>
      <c r="B30" s="950" t="e">
        <f>#REF!</f>
        <v>#REF!</v>
      </c>
      <c r="C30" s="1287" t="e">
        <f>#REF!</f>
        <v>#REF!</v>
      </c>
      <c r="D30" s="1287" t="e">
        <f>#REF!</f>
        <v>#REF!</v>
      </c>
      <c r="E30" s="1288" t="e">
        <f>#REF!</f>
        <v>#REF!</v>
      </c>
      <c r="F30" s="1288" t="e">
        <f>#REF!</f>
        <v>#REF!</v>
      </c>
      <c r="G30" s="1289" t="e">
        <f>#REF!</f>
        <v>#REF!</v>
      </c>
      <c r="H30" s="1289" t="e">
        <f>#REF!</f>
        <v>#REF!</v>
      </c>
      <c r="I30" s="1287" t="e">
        <f t="shared" si="0"/>
        <v>#REF!</v>
      </c>
      <c r="J30" s="1290"/>
      <c r="K30" s="1289" t="e">
        <f t="shared" si="2"/>
        <v>#REF!</v>
      </c>
      <c r="L30" s="1291"/>
      <c r="M30" s="1289" t="e">
        <f>#REF!</f>
        <v>#REF!</v>
      </c>
      <c r="N30" s="1289" t="e">
        <f>#REF!</f>
        <v>#REF!</v>
      </c>
      <c r="O30" s="1289" t="e">
        <f>#REF!</f>
        <v>#REF!</v>
      </c>
      <c r="P30" s="1289" t="e">
        <f>#REF!</f>
        <v>#REF!</v>
      </c>
    </row>
    <row r="31" spans="1:16" ht="52.5" x14ac:dyDescent="0.2">
      <c r="A31" s="950" t="e">
        <f>#REF!</f>
        <v>#REF!</v>
      </c>
      <c r="B31" s="951" t="e">
        <f>#REF!</f>
        <v>#REF!</v>
      </c>
      <c r="C31" s="952" t="e">
        <f>#REF!</f>
        <v>#REF!</v>
      </c>
      <c r="D31" s="952" t="e">
        <f>#REF!</f>
        <v>#REF!</v>
      </c>
      <c r="E31" s="953" t="e">
        <f>#REF!</f>
        <v>#REF!</v>
      </c>
      <c r="F31" s="953" t="e">
        <f>#REF!</f>
        <v>#REF!</v>
      </c>
      <c r="G31" s="954" t="e">
        <f>#REF!</f>
        <v>#REF!</v>
      </c>
      <c r="H31" s="954" t="e">
        <f>#REF!</f>
        <v>#REF!</v>
      </c>
      <c r="I31" s="952" t="e">
        <f t="shared" si="0"/>
        <v>#REF!</v>
      </c>
      <c r="J31" s="1275"/>
      <c r="K31" s="954" t="e">
        <f t="shared" si="2"/>
        <v>#REF!</v>
      </c>
      <c r="L31" s="955"/>
      <c r="M31" s="954" t="e">
        <f>#REF!</f>
        <v>#REF!</v>
      </c>
      <c r="N31" s="954" t="e">
        <f>#REF!</f>
        <v>#REF!</v>
      </c>
      <c r="O31" s="954" t="e">
        <f>#REF!</f>
        <v>#REF!</v>
      </c>
      <c r="P31" s="954" t="e">
        <f>#REF!</f>
        <v>#REF!</v>
      </c>
    </row>
    <row r="32" spans="1:16" ht="51" x14ac:dyDescent="0.2">
      <c r="A32" s="412" t="e">
        <f>#REF!</f>
        <v>#REF!</v>
      </c>
      <c r="B32" s="1232" t="e">
        <f>#REF!</f>
        <v>#REF!</v>
      </c>
      <c r="C32" s="1235" t="e">
        <f>#REF!</f>
        <v>#REF!</v>
      </c>
      <c r="D32" s="1235" t="e">
        <f>#REF!</f>
        <v>#REF!</v>
      </c>
      <c r="E32" s="1236" t="e">
        <f>#REF!</f>
        <v>#REF!</v>
      </c>
      <c r="F32" s="1236" t="e">
        <f>#REF!</f>
        <v>#REF!</v>
      </c>
      <c r="G32" s="1237" t="e">
        <f>#REF!</f>
        <v>#REF!</v>
      </c>
      <c r="H32" s="1237" t="e">
        <f>#REF!</f>
        <v>#REF!</v>
      </c>
      <c r="I32" s="1235" t="e">
        <f t="shared" si="0"/>
        <v>#REF!</v>
      </c>
      <c r="J32" s="1273" t="e">
        <f t="shared" si="1"/>
        <v>#REF!</v>
      </c>
      <c r="K32" s="1237" t="e">
        <f t="shared" si="2"/>
        <v>#REF!</v>
      </c>
      <c r="L32" s="1238" t="e">
        <f t="shared" si="3"/>
        <v>#REF!</v>
      </c>
      <c r="M32" s="1237" t="e">
        <f>#REF!</f>
        <v>#REF!</v>
      </c>
      <c r="N32" s="1237" t="e">
        <f>#REF!</f>
        <v>#REF!</v>
      </c>
      <c r="O32" s="1237" t="e">
        <f>#REF!</f>
        <v>#REF!</v>
      </c>
      <c r="P32" s="1237" t="e">
        <f>#REF!</f>
        <v>#REF!</v>
      </c>
    </row>
    <row r="33" spans="1:16" ht="52.5" x14ac:dyDescent="0.2">
      <c r="A33" s="1239" t="e">
        <f>#REF!</f>
        <v>#REF!</v>
      </c>
      <c r="B33" s="1242" t="e">
        <f>#REF!</f>
        <v>#REF!</v>
      </c>
      <c r="C33" s="1240" t="e">
        <f>#REF!</f>
        <v>#REF!</v>
      </c>
      <c r="D33" s="1240" t="e">
        <f>#REF!</f>
        <v>#REF!</v>
      </c>
      <c r="E33" s="1236" t="e">
        <f>#REF!</f>
        <v>#REF!</v>
      </c>
      <c r="F33" s="1236" t="e">
        <f>#REF!</f>
        <v>#REF!</v>
      </c>
      <c r="G33" s="1241" t="e">
        <f>#REF!</f>
        <v>#REF!</v>
      </c>
      <c r="H33" s="1241" t="e">
        <f>#REF!</f>
        <v>#REF!</v>
      </c>
      <c r="I33" s="1240" t="e">
        <f t="shared" si="0"/>
        <v>#REF!</v>
      </c>
      <c r="J33" s="1274" t="e">
        <f t="shared" si="1"/>
        <v>#REF!</v>
      </c>
      <c r="K33" s="1241" t="e">
        <f t="shared" si="2"/>
        <v>#REF!</v>
      </c>
      <c r="L33" s="1238" t="e">
        <f t="shared" si="3"/>
        <v>#REF!</v>
      </c>
      <c r="M33" s="1241" t="e">
        <f>#REF!</f>
        <v>#REF!</v>
      </c>
      <c r="N33" s="1241" t="e">
        <f>#REF!</f>
        <v>#REF!</v>
      </c>
      <c r="O33" s="1241" t="e">
        <f>#REF!</f>
        <v>#REF!</v>
      </c>
      <c r="P33" s="1237" t="e">
        <f>#REF!</f>
        <v>#REF!</v>
      </c>
    </row>
    <row r="34" spans="1:16" ht="52.5" x14ac:dyDescent="0.2">
      <c r="A34" s="1239" t="e">
        <f>#REF!</f>
        <v>#REF!</v>
      </c>
      <c r="B34" s="1242" t="e">
        <f>#REF!</f>
        <v>#REF!</v>
      </c>
      <c r="C34" s="1240" t="e">
        <f>#REF!</f>
        <v>#REF!</v>
      </c>
      <c r="D34" s="1240" t="e">
        <f>#REF!</f>
        <v>#REF!</v>
      </c>
      <c r="E34" s="1236" t="e">
        <f>#REF!</f>
        <v>#REF!</v>
      </c>
      <c r="F34" s="1236" t="e">
        <f>#REF!</f>
        <v>#REF!</v>
      </c>
      <c r="G34" s="1241" t="e">
        <f>#REF!</f>
        <v>#REF!</v>
      </c>
      <c r="H34" s="1241" t="e">
        <f>#REF!</f>
        <v>#REF!</v>
      </c>
      <c r="I34" s="1240" t="e">
        <f t="shared" si="0"/>
        <v>#REF!</v>
      </c>
      <c r="J34" s="1274" t="e">
        <f t="shared" si="1"/>
        <v>#REF!</v>
      </c>
      <c r="K34" s="1241" t="e">
        <f t="shared" si="2"/>
        <v>#REF!</v>
      </c>
      <c r="L34" s="1238" t="e">
        <f t="shared" si="3"/>
        <v>#REF!</v>
      </c>
      <c r="M34" s="1241" t="e">
        <f>#REF!</f>
        <v>#REF!</v>
      </c>
      <c r="N34" s="1241" t="e">
        <f>#REF!</f>
        <v>#REF!</v>
      </c>
      <c r="O34" s="1241" t="e">
        <f>#REF!</f>
        <v>#REF!</v>
      </c>
      <c r="P34" s="1237" t="e">
        <f>#REF!</f>
        <v>#REF!</v>
      </c>
    </row>
    <row r="35" spans="1:16" ht="52.5" x14ac:dyDescent="0.2">
      <c r="A35" s="1239" t="e">
        <f>#REF!</f>
        <v>#REF!</v>
      </c>
      <c r="B35" s="1242" t="e">
        <f>#REF!</f>
        <v>#REF!</v>
      </c>
      <c r="C35" s="1240" t="e">
        <f>#REF!</f>
        <v>#REF!</v>
      </c>
      <c r="D35" s="1240" t="e">
        <f>#REF!</f>
        <v>#REF!</v>
      </c>
      <c r="E35" s="1236" t="e">
        <f>#REF!</f>
        <v>#REF!</v>
      </c>
      <c r="F35" s="1236" t="e">
        <f>#REF!</f>
        <v>#REF!</v>
      </c>
      <c r="G35" s="1241" t="e">
        <f>#REF!</f>
        <v>#REF!</v>
      </c>
      <c r="H35" s="1241" t="e">
        <f>#REF!</f>
        <v>#REF!</v>
      </c>
      <c r="I35" s="1240" t="e">
        <f t="shared" si="0"/>
        <v>#REF!</v>
      </c>
      <c r="J35" s="1274" t="e">
        <f t="shared" si="1"/>
        <v>#REF!</v>
      </c>
      <c r="K35" s="1241" t="e">
        <f t="shared" si="2"/>
        <v>#REF!</v>
      </c>
      <c r="L35" s="1238" t="e">
        <f t="shared" si="3"/>
        <v>#REF!</v>
      </c>
      <c r="M35" s="1241" t="e">
        <f>#REF!</f>
        <v>#REF!</v>
      </c>
      <c r="N35" s="1241" t="e">
        <f>#REF!</f>
        <v>#REF!</v>
      </c>
      <c r="O35" s="1241" t="e">
        <f>#REF!</f>
        <v>#REF!</v>
      </c>
      <c r="P35" s="1237" t="e">
        <f>#REF!</f>
        <v>#REF!</v>
      </c>
    </row>
    <row r="36" spans="1:16" ht="52.5" x14ac:dyDescent="0.2">
      <c r="A36" s="950" t="e">
        <f>#REF!</f>
        <v>#REF!</v>
      </c>
      <c r="B36" s="951" t="e">
        <f>#REF!</f>
        <v>#REF!</v>
      </c>
      <c r="C36" s="952" t="e">
        <f>#REF!</f>
        <v>#REF!</v>
      </c>
      <c r="D36" s="952" t="e">
        <f>#REF!</f>
        <v>#REF!</v>
      </c>
      <c r="E36" s="1254"/>
      <c r="F36" s="953" t="e">
        <f>#REF!</f>
        <v>#REF!</v>
      </c>
      <c r="G36" s="954" t="e">
        <f>#REF!</f>
        <v>#REF!</v>
      </c>
      <c r="H36" s="954" t="e">
        <f>#REF!</f>
        <v>#REF!</v>
      </c>
      <c r="I36" s="952" t="e">
        <f t="shared" si="0"/>
        <v>#REF!</v>
      </c>
      <c r="J36" s="1275"/>
      <c r="K36" s="954" t="e">
        <f t="shared" si="2"/>
        <v>#REF!</v>
      </c>
      <c r="L36" s="957"/>
      <c r="M36" s="954" t="e">
        <f>#REF!</f>
        <v>#REF!</v>
      </c>
      <c r="N36" s="954" t="e">
        <f>#REF!</f>
        <v>#REF!</v>
      </c>
      <c r="O36" s="954" t="e">
        <f>#REF!</f>
        <v>#REF!</v>
      </c>
      <c r="P36" s="960" t="e">
        <f>#REF!</f>
        <v>#REF!</v>
      </c>
    </row>
    <row r="37" spans="1:16" ht="135" customHeight="1" x14ac:dyDescent="0.2">
      <c r="A37" s="1244" t="e">
        <f>#REF!</f>
        <v>#REF!</v>
      </c>
      <c r="B37" s="1245" t="e">
        <f>#REF!</f>
        <v>#REF!</v>
      </c>
      <c r="C37" s="392" t="e">
        <f>#REF!</f>
        <v>#REF!</v>
      </c>
      <c r="D37" s="392" t="e">
        <f>#REF!</f>
        <v>#REF!</v>
      </c>
      <c r="E37" s="1246" t="e">
        <f>#REF!</f>
        <v>#REF!</v>
      </c>
      <c r="F37" s="1246" t="e">
        <f>#REF!</f>
        <v>#REF!</v>
      </c>
      <c r="G37" s="382" t="e">
        <f>#REF!</f>
        <v>#REF!</v>
      </c>
      <c r="H37" s="382" t="e">
        <f>#REF!</f>
        <v>#REF!</v>
      </c>
      <c r="I37" s="392" t="e">
        <f t="shared" si="0"/>
        <v>#REF!</v>
      </c>
      <c r="J37" s="1277" t="e">
        <f t="shared" si="1"/>
        <v>#REF!</v>
      </c>
      <c r="K37" s="382" t="e">
        <f t="shared" si="2"/>
        <v>#REF!</v>
      </c>
      <c r="L37" s="383" t="e">
        <f t="shared" si="3"/>
        <v>#REF!</v>
      </c>
      <c r="M37" s="382" t="e">
        <f>#REF!</f>
        <v>#REF!</v>
      </c>
      <c r="N37" s="382" t="e">
        <f>#REF!</f>
        <v>#REF!</v>
      </c>
      <c r="O37" s="382" t="e">
        <f>#REF!</f>
        <v>#REF!</v>
      </c>
      <c r="P37" s="382" t="e">
        <f>#REF!</f>
        <v>#REF!</v>
      </c>
    </row>
    <row r="38" spans="1:16" ht="76.5" x14ac:dyDescent="0.2">
      <c r="A38" s="346" t="e">
        <f>#REF!</f>
        <v>#REF!</v>
      </c>
      <c r="B38" s="347" t="e">
        <f>#REF!</f>
        <v>#REF!</v>
      </c>
      <c r="C38" s="406" t="e">
        <f>#REF!</f>
        <v>#REF!</v>
      </c>
      <c r="D38" s="406" t="e">
        <f>#REF!</f>
        <v>#REF!</v>
      </c>
      <c r="E38" s="477" t="e">
        <f>#REF!</f>
        <v>#REF!</v>
      </c>
      <c r="F38" s="477" t="e">
        <f>#REF!</f>
        <v>#REF!</v>
      </c>
      <c r="G38" s="407" t="e">
        <f>#REF!</f>
        <v>#REF!</v>
      </c>
      <c r="H38" s="407" t="e">
        <f>#REF!</f>
        <v>#REF!</v>
      </c>
      <c r="I38" s="406" t="e">
        <f t="shared" si="0"/>
        <v>#REF!</v>
      </c>
      <c r="J38" s="1278" t="e">
        <f t="shared" si="1"/>
        <v>#REF!</v>
      </c>
      <c r="K38" s="407" t="e">
        <f t="shared" si="2"/>
        <v>#REF!</v>
      </c>
      <c r="L38" s="1229" t="e">
        <f t="shared" si="3"/>
        <v>#REF!</v>
      </c>
      <c r="M38" s="407" t="e">
        <f>#REF!</f>
        <v>#REF!</v>
      </c>
      <c r="N38" s="407" t="e">
        <f>#REF!</f>
        <v>#REF!</v>
      </c>
      <c r="O38" s="407" t="e">
        <f>#REF!</f>
        <v>#REF!</v>
      </c>
      <c r="P38" s="407" t="e">
        <f>#REF!</f>
        <v>#REF!</v>
      </c>
    </row>
    <row r="39" spans="1:16" ht="102" x14ac:dyDescent="0.2">
      <c r="A39" s="346" t="e">
        <f>#REF!</f>
        <v>#REF!</v>
      </c>
      <c r="B39" s="347" t="e">
        <f>#REF!</f>
        <v>#REF!</v>
      </c>
      <c r="C39" s="406" t="e">
        <f>#REF!</f>
        <v>#REF!</v>
      </c>
      <c r="D39" s="406" t="e">
        <f>#REF!</f>
        <v>#REF!</v>
      </c>
      <c r="E39" s="477" t="e">
        <f>#REF!</f>
        <v>#REF!</v>
      </c>
      <c r="F39" s="477" t="e">
        <f>#REF!</f>
        <v>#REF!</v>
      </c>
      <c r="G39" s="407" t="e">
        <f>#REF!</f>
        <v>#REF!</v>
      </c>
      <c r="H39" s="407" t="e">
        <f>#REF!</f>
        <v>#REF!</v>
      </c>
      <c r="I39" s="406" t="e">
        <f t="shared" si="0"/>
        <v>#REF!</v>
      </c>
      <c r="J39" s="1278" t="e">
        <f t="shared" si="1"/>
        <v>#REF!</v>
      </c>
      <c r="K39" s="407" t="e">
        <f t="shared" si="2"/>
        <v>#REF!</v>
      </c>
      <c r="L39" s="1229" t="e">
        <f t="shared" si="3"/>
        <v>#REF!</v>
      </c>
      <c r="M39" s="407" t="e">
        <f>#REF!</f>
        <v>#REF!</v>
      </c>
      <c r="N39" s="407" t="e">
        <f>#REF!</f>
        <v>#REF!</v>
      </c>
      <c r="O39" s="407" t="e">
        <f>#REF!</f>
        <v>#REF!</v>
      </c>
      <c r="P39" s="407" t="e">
        <f>#REF!</f>
        <v>#REF!</v>
      </c>
    </row>
    <row r="40" spans="1:16" ht="76.5" x14ac:dyDescent="0.2">
      <c r="A40" s="343" t="e">
        <f>#REF!</f>
        <v>#REF!</v>
      </c>
      <c r="B40" s="340" t="e">
        <f>#REF!</f>
        <v>#REF!</v>
      </c>
      <c r="C40" s="389" t="e">
        <f>#REF!</f>
        <v>#REF!</v>
      </c>
      <c r="D40" s="389" t="e">
        <f>#REF!</f>
        <v>#REF!</v>
      </c>
      <c r="E40" s="477" t="e">
        <f>#REF!</f>
        <v>#REF!</v>
      </c>
      <c r="F40" s="477" t="e">
        <f>#REF!</f>
        <v>#REF!</v>
      </c>
      <c r="G40" s="390" t="e">
        <f>#REF!</f>
        <v>#REF!</v>
      </c>
      <c r="H40" s="390" t="e">
        <f>#REF!</f>
        <v>#REF!</v>
      </c>
      <c r="I40" s="389" t="e">
        <f t="shared" si="0"/>
        <v>#REF!</v>
      </c>
      <c r="J40" s="1279" t="e">
        <f t="shared" si="1"/>
        <v>#REF!</v>
      </c>
      <c r="K40" s="390" t="e">
        <f t="shared" si="2"/>
        <v>#REF!</v>
      </c>
      <c r="L40" s="509" t="e">
        <f t="shared" si="3"/>
        <v>#REF!</v>
      </c>
      <c r="M40" s="390" t="e">
        <f>#REF!</f>
        <v>#REF!</v>
      </c>
      <c r="N40" s="390" t="e">
        <f>#REF!</f>
        <v>#REF!</v>
      </c>
      <c r="O40" s="390" t="e">
        <f>#REF!</f>
        <v>#REF!</v>
      </c>
      <c r="P40" s="390" t="e">
        <f>#REF!</f>
        <v>#REF!</v>
      </c>
    </row>
    <row r="41" spans="1:16" ht="52.5" x14ac:dyDescent="0.2">
      <c r="A41" s="341" t="e">
        <f>#REF!</f>
        <v>#REF!</v>
      </c>
      <c r="B41" s="342" t="e">
        <f>#REF!</f>
        <v>#REF!</v>
      </c>
      <c r="C41" s="400" t="e">
        <f>#REF!</f>
        <v>#REF!</v>
      </c>
      <c r="D41" s="400" t="e">
        <f>#REF!</f>
        <v>#REF!</v>
      </c>
      <c r="E41" s="477" t="e">
        <f>#REF!</f>
        <v>#REF!</v>
      </c>
      <c r="F41" s="477" t="e">
        <f>#REF!</f>
        <v>#REF!</v>
      </c>
      <c r="G41" s="401" t="e">
        <f>#REF!</f>
        <v>#REF!</v>
      </c>
      <c r="H41" s="401" t="e">
        <f>#REF!</f>
        <v>#REF!</v>
      </c>
      <c r="I41" s="400" t="e">
        <f t="shared" si="0"/>
        <v>#REF!</v>
      </c>
      <c r="J41" s="1280" t="e">
        <f t="shared" si="1"/>
        <v>#REF!</v>
      </c>
      <c r="K41" s="401" t="e">
        <f t="shared" si="2"/>
        <v>#REF!</v>
      </c>
      <c r="L41" s="724" t="e">
        <f t="shared" si="3"/>
        <v>#REF!</v>
      </c>
      <c r="M41" s="401" t="e">
        <f>#REF!</f>
        <v>#REF!</v>
      </c>
      <c r="N41" s="401" t="e">
        <f>#REF!</f>
        <v>#REF!</v>
      </c>
      <c r="O41" s="401" t="e">
        <f>#REF!</f>
        <v>#REF!</v>
      </c>
      <c r="P41" s="401" t="e">
        <f>#REF!</f>
        <v>#REF!</v>
      </c>
    </row>
    <row r="42" spans="1:16" ht="52.5" x14ac:dyDescent="0.2">
      <c r="A42" s="950" t="e">
        <f>#REF!</f>
        <v>#REF!</v>
      </c>
      <c r="B42" s="951" t="e">
        <f>#REF!</f>
        <v>#REF!</v>
      </c>
      <c r="C42" s="952" t="e">
        <f>#REF!</f>
        <v>#REF!</v>
      </c>
      <c r="D42" s="952" t="e">
        <f>#REF!</f>
        <v>#REF!</v>
      </c>
      <c r="E42" s="953" t="e">
        <f>#REF!</f>
        <v>#REF!</v>
      </c>
      <c r="F42" s="953" t="e">
        <f>#REF!</f>
        <v>#REF!</v>
      </c>
      <c r="G42" s="954" t="e">
        <f>#REF!</f>
        <v>#REF!</v>
      </c>
      <c r="H42" s="954" t="e">
        <f>#REF!</f>
        <v>#REF!</v>
      </c>
      <c r="I42" s="952" t="e">
        <f t="shared" si="0"/>
        <v>#REF!</v>
      </c>
      <c r="J42" s="1275" t="e">
        <f t="shared" si="1"/>
        <v>#REF!</v>
      </c>
      <c r="K42" s="954" t="e">
        <f t="shared" si="2"/>
        <v>#REF!</v>
      </c>
      <c r="L42" s="955" t="e">
        <f t="shared" si="3"/>
        <v>#REF!</v>
      </c>
      <c r="M42" s="954" t="e">
        <f>#REF!</f>
        <v>#REF!</v>
      </c>
      <c r="N42" s="954" t="e">
        <f>#REF!</f>
        <v>#REF!</v>
      </c>
      <c r="O42" s="954" t="e">
        <f>#REF!</f>
        <v>#REF!</v>
      </c>
      <c r="P42" s="954" t="e">
        <f>#REF!</f>
        <v>#REF!</v>
      </c>
    </row>
    <row r="43" spans="1:16" ht="76.5" x14ac:dyDescent="0.2">
      <c r="A43" s="343" t="e">
        <f>#REF!</f>
        <v>#REF!</v>
      </c>
      <c r="B43" s="349" t="e">
        <f>#REF!</f>
        <v>#REF!</v>
      </c>
      <c r="C43" s="389" t="e">
        <f>#REF!</f>
        <v>#REF!</v>
      </c>
      <c r="D43" s="389" t="e">
        <f>#REF!</f>
        <v>#REF!</v>
      </c>
      <c r="E43" s="477" t="e">
        <f>#REF!</f>
        <v>#REF!</v>
      </c>
      <c r="F43" s="477" t="e">
        <f>#REF!</f>
        <v>#REF!</v>
      </c>
      <c r="G43" s="390" t="e">
        <f>#REF!</f>
        <v>#REF!</v>
      </c>
      <c r="H43" s="390" t="e">
        <f>#REF!</f>
        <v>#REF!</v>
      </c>
      <c r="I43" s="389" t="e">
        <f t="shared" si="0"/>
        <v>#REF!</v>
      </c>
      <c r="J43" s="1279" t="e">
        <f t="shared" si="1"/>
        <v>#REF!</v>
      </c>
      <c r="K43" s="390" t="e">
        <f t="shared" si="2"/>
        <v>#REF!</v>
      </c>
      <c r="L43" s="509" t="e">
        <f t="shared" si="3"/>
        <v>#REF!</v>
      </c>
      <c r="M43" s="390" t="e">
        <f>#REF!</f>
        <v>#REF!</v>
      </c>
      <c r="N43" s="390" t="e">
        <f>#REF!</f>
        <v>#REF!</v>
      </c>
      <c r="O43" s="390" t="e">
        <f>#REF!</f>
        <v>#REF!</v>
      </c>
      <c r="P43" s="390" t="e">
        <f>#REF!</f>
        <v>#REF!</v>
      </c>
    </row>
    <row r="44" spans="1:16" ht="52.5" x14ac:dyDescent="0.2">
      <c r="A44" s="341" t="e">
        <f>#REF!</f>
        <v>#REF!</v>
      </c>
      <c r="B44" s="342" t="e">
        <f>#REF!</f>
        <v>#REF!</v>
      </c>
      <c r="C44" s="400" t="e">
        <f>#REF!</f>
        <v>#REF!</v>
      </c>
      <c r="D44" s="400" t="e">
        <f>#REF!</f>
        <v>#REF!</v>
      </c>
      <c r="E44" s="477" t="e">
        <f>#REF!</f>
        <v>#REF!</v>
      </c>
      <c r="F44" s="477" t="e">
        <f>#REF!</f>
        <v>#REF!</v>
      </c>
      <c r="G44" s="401" t="e">
        <f>#REF!</f>
        <v>#REF!</v>
      </c>
      <c r="H44" s="401" t="e">
        <f>#REF!</f>
        <v>#REF!</v>
      </c>
      <c r="I44" s="400" t="e">
        <f t="shared" si="0"/>
        <v>#REF!</v>
      </c>
      <c r="J44" s="1280" t="e">
        <f t="shared" si="1"/>
        <v>#REF!</v>
      </c>
      <c r="K44" s="401" t="e">
        <f t="shared" si="2"/>
        <v>#REF!</v>
      </c>
      <c r="L44" s="724" t="e">
        <f t="shared" si="3"/>
        <v>#REF!</v>
      </c>
      <c r="M44" s="401" t="e">
        <f>#REF!</f>
        <v>#REF!</v>
      </c>
      <c r="N44" s="401" t="e">
        <f>#REF!</f>
        <v>#REF!</v>
      </c>
      <c r="O44" s="401" t="e">
        <f>#REF!</f>
        <v>#REF!</v>
      </c>
      <c r="P44" s="401" t="e">
        <f>#REF!</f>
        <v>#REF!</v>
      </c>
    </row>
    <row r="45" spans="1:16" ht="52.5" x14ac:dyDescent="0.2">
      <c r="A45" s="950" t="e">
        <f>#REF!</f>
        <v>#REF!</v>
      </c>
      <c r="B45" s="951" t="e">
        <f>#REF!</f>
        <v>#REF!</v>
      </c>
      <c r="C45" s="952" t="e">
        <f>#REF!</f>
        <v>#REF!</v>
      </c>
      <c r="D45" s="952" t="e">
        <f>#REF!</f>
        <v>#REF!</v>
      </c>
      <c r="E45" s="953" t="e">
        <f>#REF!</f>
        <v>#REF!</v>
      </c>
      <c r="F45" s="953" t="e">
        <f>#REF!</f>
        <v>#REF!</v>
      </c>
      <c r="G45" s="954" t="e">
        <f>#REF!</f>
        <v>#REF!</v>
      </c>
      <c r="H45" s="954" t="e">
        <f>#REF!</f>
        <v>#REF!</v>
      </c>
      <c r="I45" s="952" t="e">
        <f t="shared" si="0"/>
        <v>#REF!</v>
      </c>
      <c r="J45" s="1275" t="e">
        <f t="shared" si="1"/>
        <v>#REF!</v>
      </c>
      <c r="K45" s="954" t="e">
        <f t="shared" si="2"/>
        <v>#REF!</v>
      </c>
      <c r="L45" s="955" t="e">
        <f t="shared" si="3"/>
        <v>#REF!</v>
      </c>
      <c r="M45" s="954" t="e">
        <f>#REF!</f>
        <v>#REF!</v>
      </c>
      <c r="N45" s="954" t="e">
        <f>#REF!</f>
        <v>#REF!</v>
      </c>
      <c r="O45" s="954" t="e">
        <f>#REF!</f>
        <v>#REF!</v>
      </c>
      <c r="P45" s="954" t="e">
        <f>#REF!</f>
        <v>#REF!</v>
      </c>
    </row>
    <row r="46" spans="1:16" ht="76.5" x14ac:dyDescent="0.2">
      <c r="A46" s="956" t="e">
        <f>#REF!</f>
        <v>#REF!</v>
      </c>
      <c r="B46" s="958" t="e">
        <f>#REF!</f>
        <v>#REF!</v>
      </c>
      <c r="C46" s="959" t="e">
        <f>#REF!</f>
        <v>#REF!</v>
      </c>
      <c r="D46" s="959" t="e">
        <f>#REF!</f>
        <v>#REF!</v>
      </c>
      <c r="E46" s="953" t="e">
        <f>#REF!</f>
        <v>#REF!</v>
      </c>
      <c r="F46" s="953" t="e">
        <f>#REF!</f>
        <v>#REF!</v>
      </c>
      <c r="G46" s="960" t="e">
        <f>#REF!</f>
        <v>#REF!</v>
      </c>
      <c r="H46" s="960" t="e">
        <f>#REF!</f>
        <v>#REF!</v>
      </c>
      <c r="I46" s="959" t="e">
        <f t="shared" si="0"/>
        <v>#REF!</v>
      </c>
      <c r="J46" s="1276" t="e">
        <f t="shared" si="1"/>
        <v>#REF!</v>
      </c>
      <c r="K46" s="960" t="e">
        <f t="shared" si="2"/>
        <v>#REF!</v>
      </c>
      <c r="L46" s="957" t="e">
        <f t="shared" si="3"/>
        <v>#REF!</v>
      </c>
      <c r="M46" s="960" t="e">
        <f>#REF!</f>
        <v>#REF!</v>
      </c>
      <c r="N46" s="960" t="e">
        <f>#REF!</f>
        <v>#REF!</v>
      </c>
      <c r="O46" s="960" t="e">
        <f>#REF!</f>
        <v>#REF!</v>
      </c>
      <c r="P46" s="960" t="e">
        <f>#REF!</f>
        <v>#REF!</v>
      </c>
    </row>
    <row r="47" spans="1:16" ht="52.5" x14ac:dyDescent="0.2">
      <c r="A47" s="961" t="e">
        <f>#REF!</f>
        <v>#REF!</v>
      </c>
      <c r="B47" s="962" t="e">
        <f>#REF!</f>
        <v>#REF!</v>
      </c>
      <c r="C47" s="952" t="e">
        <f>#REF!</f>
        <v>#REF!</v>
      </c>
      <c r="D47" s="952" t="e">
        <f>#REF!</f>
        <v>#REF!</v>
      </c>
      <c r="E47" s="953" t="e">
        <f>#REF!</f>
        <v>#REF!</v>
      </c>
      <c r="F47" s="953" t="e">
        <f>#REF!</f>
        <v>#REF!</v>
      </c>
      <c r="G47" s="954" t="e">
        <f>#REF!</f>
        <v>#REF!</v>
      </c>
      <c r="H47" s="954" t="e">
        <f>#REF!</f>
        <v>#REF!</v>
      </c>
      <c r="I47" s="952" t="e">
        <f t="shared" si="0"/>
        <v>#REF!</v>
      </c>
      <c r="J47" s="1275" t="e">
        <f t="shared" si="1"/>
        <v>#REF!</v>
      </c>
      <c r="K47" s="954" t="e">
        <f t="shared" si="2"/>
        <v>#REF!</v>
      </c>
      <c r="L47" s="957" t="e">
        <f t="shared" si="3"/>
        <v>#REF!</v>
      </c>
      <c r="M47" s="954" t="e">
        <f>#REF!</f>
        <v>#REF!</v>
      </c>
      <c r="N47" s="954" t="e">
        <f>#REF!</f>
        <v>#REF!</v>
      </c>
      <c r="O47" s="954" t="e">
        <f>#REF!</f>
        <v>#REF!</v>
      </c>
      <c r="P47" s="960" t="e">
        <f>#REF!</f>
        <v>#REF!</v>
      </c>
    </row>
    <row r="48" spans="1:16" ht="52.5" customHeight="1" x14ac:dyDescent="0.2">
      <c r="A48" s="398" t="e">
        <f>#REF!</f>
        <v>#REF!</v>
      </c>
      <c r="B48" s="410" t="e">
        <f>#REF!</f>
        <v>#REF!</v>
      </c>
      <c r="C48" s="389" t="e">
        <f>#REF!</f>
        <v>#REF!</v>
      </c>
      <c r="D48" s="389" t="e">
        <f>#REF!</f>
        <v>#REF!</v>
      </c>
      <c r="E48" s="477" t="e">
        <f>#REF!</f>
        <v>#REF!</v>
      </c>
      <c r="F48" s="477" t="e">
        <f>#REF!</f>
        <v>#REF!</v>
      </c>
      <c r="G48" s="390" t="e">
        <f>#REF!</f>
        <v>#REF!</v>
      </c>
      <c r="H48" s="390" t="e">
        <f>#REF!</f>
        <v>#REF!</v>
      </c>
      <c r="I48" s="389" t="e">
        <f t="shared" si="0"/>
        <v>#REF!</v>
      </c>
      <c r="J48" s="1279" t="e">
        <f t="shared" si="1"/>
        <v>#REF!</v>
      </c>
      <c r="K48" s="390" t="e">
        <f t="shared" si="2"/>
        <v>#REF!</v>
      </c>
      <c r="L48" s="509" t="e">
        <f t="shared" si="3"/>
        <v>#REF!</v>
      </c>
      <c r="M48" s="390" t="e">
        <f>#REF!</f>
        <v>#REF!</v>
      </c>
      <c r="N48" s="390" t="e">
        <f>#REF!</f>
        <v>#REF!</v>
      </c>
      <c r="O48" s="390" t="e">
        <f>#REF!</f>
        <v>#REF!</v>
      </c>
      <c r="P48" s="390" t="e">
        <f>#REF!</f>
        <v>#REF!</v>
      </c>
    </row>
    <row r="49" spans="1:16" ht="52.5" x14ac:dyDescent="0.2">
      <c r="A49" s="341" t="e">
        <f>#REF!</f>
        <v>#REF!</v>
      </c>
      <c r="B49" s="342" t="e">
        <f>#REF!</f>
        <v>#REF!</v>
      </c>
      <c r="C49" s="400" t="e">
        <f>#REF!</f>
        <v>#REF!</v>
      </c>
      <c r="D49" s="400" t="e">
        <f>#REF!</f>
        <v>#REF!</v>
      </c>
      <c r="E49" s="477" t="e">
        <f>#REF!</f>
        <v>#REF!</v>
      </c>
      <c r="F49" s="477" t="e">
        <f>#REF!</f>
        <v>#REF!</v>
      </c>
      <c r="G49" s="401" t="e">
        <f>#REF!</f>
        <v>#REF!</v>
      </c>
      <c r="H49" s="401" t="e">
        <f>#REF!</f>
        <v>#REF!</v>
      </c>
      <c r="I49" s="400" t="e">
        <f t="shared" si="0"/>
        <v>#REF!</v>
      </c>
      <c r="J49" s="1280" t="e">
        <f t="shared" si="1"/>
        <v>#REF!</v>
      </c>
      <c r="K49" s="401" t="e">
        <f t="shared" si="2"/>
        <v>#REF!</v>
      </c>
      <c r="L49" s="724" t="e">
        <f t="shared" si="3"/>
        <v>#REF!</v>
      </c>
      <c r="M49" s="401" t="e">
        <f>#REF!</f>
        <v>#REF!</v>
      </c>
      <c r="N49" s="401" t="e">
        <f>#REF!</f>
        <v>#REF!</v>
      </c>
      <c r="O49" s="401" t="e">
        <f>#REF!</f>
        <v>#REF!</v>
      </c>
      <c r="P49" s="401" t="e">
        <f>#REF!</f>
        <v>#REF!</v>
      </c>
    </row>
    <row r="50" spans="1:16" ht="78.75" x14ac:dyDescent="0.2">
      <c r="A50" s="341" t="e">
        <f>#REF!</f>
        <v>#REF!</v>
      </c>
      <c r="B50" s="342" t="e">
        <f>#REF!</f>
        <v>#REF!</v>
      </c>
      <c r="C50" s="400" t="e">
        <f>#REF!</f>
        <v>#REF!</v>
      </c>
      <c r="D50" s="400" t="e">
        <f>#REF!</f>
        <v>#REF!</v>
      </c>
      <c r="E50" s="477" t="e">
        <f>#REF!</f>
        <v>#REF!</v>
      </c>
      <c r="F50" s="477" t="e">
        <f>#REF!</f>
        <v>#REF!</v>
      </c>
      <c r="G50" s="401" t="e">
        <f>#REF!</f>
        <v>#REF!</v>
      </c>
      <c r="H50" s="401" t="e">
        <f>#REF!</f>
        <v>#REF!</v>
      </c>
      <c r="I50" s="400" t="e">
        <f t="shared" si="0"/>
        <v>#REF!</v>
      </c>
      <c r="J50" s="1280" t="e">
        <f t="shared" si="1"/>
        <v>#REF!</v>
      </c>
      <c r="K50" s="401" t="e">
        <f t="shared" si="2"/>
        <v>#REF!</v>
      </c>
      <c r="L50" s="724" t="e">
        <f t="shared" si="3"/>
        <v>#REF!</v>
      </c>
      <c r="M50" s="401" t="e">
        <f>#REF!</f>
        <v>#REF!</v>
      </c>
      <c r="N50" s="401" t="e">
        <f>#REF!</f>
        <v>#REF!</v>
      </c>
      <c r="O50" s="401" t="e">
        <f>#REF!</f>
        <v>#REF!</v>
      </c>
      <c r="P50" s="401" t="e">
        <f>#REF!</f>
        <v>#REF!</v>
      </c>
    </row>
    <row r="51" spans="1:16" ht="127.5" x14ac:dyDescent="0.2">
      <c r="A51" s="1247" t="e">
        <f>#REF!</f>
        <v>#REF!</v>
      </c>
      <c r="B51" s="1248" t="e">
        <f>#REF!</f>
        <v>#REF!</v>
      </c>
      <c r="C51" s="1249" t="e">
        <f>#REF!</f>
        <v>#REF!</v>
      </c>
      <c r="D51" s="1249" t="e">
        <f>#REF!</f>
        <v>#REF!</v>
      </c>
      <c r="E51" s="394" t="e">
        <f>#REF!</f>
        <v>#REF!</v>
      </c>
      <c r="F51" s="394" t="e">
        <f>#REF!</f>
        <v>#REF!</v>
      </c>
      <c r="G51" s="1250" t="e">
        <f>#REF!</f>
        <v>#REF!</v>
      </c>
      <c r="H51" s="1250" t="e">
        <f>#REF!</f>
        <v>#REF!</v>
      </c>
      <c r="I51" s="1249" t="e">
        <f t="shared" si="0"/>
        <v>#REF!</v>
      </c>
      <c r="J51" s="1281" t="e">
        <f t="shared" si="1"/>
        <v>#REF!</v>
      </c>
      <c r="K51" s="1250" t="e">
        <f t="shared" si="2"/>
        <v>#REF!</v>
      </c>
      <c r="L51" s="379" t="e">
        <f t="shared" si="3"/>
        <v>#REF!</v>
      </c>
      <c r="M51" s="1250" t="e">
        <f>#REF!</f>
        <v>#REF!</v>
      </c>
      <c r="N51" s="1250" t="e">
        <f>#REF!</f>
        <v>#REF!</v>
      </c>
      <c r="O51" s="1250" t="e">
        <f>#REF!</f>
        <v>#REF!</v>
      </c>
      <c r="P51" s="1250" t="e">
        <f>#REF!</f>
        <v>#REF!</v>
      </c>
    </row>
    <row r="52" spans="1:16" ht="78.75" x14ac:dyDescent="0.2">
      <c r="A52" s="341" t="e">
        <f>#REF!</f>
        <v>#REF!</v>
      </c>
      <c r="B52" s="342" t="e">
        <f>#REF!</f>
        <v>#REF!</v>
      </c>
      <c r="C52" s="400" t="e">
        <f>#REF!</f>
        <v>#REF!</v>
      </c>
      <c r="D52" s="400" t="e">
        <f>#REF!</f>
        <v>#REF!</v>
      </c>
      <c r="E52" s="477" t="e">
        <f>#REF!</f>
        <v>#REF!</v>
      </c>
      <c r="F52" s="477" t="e">
        <f>#REF!</f>
        <v>#REF!</v>
      </c>
      <c r="G52" s="401" t="e">
        <f>#REF!</f>
        <v>#REF!</v>
      </c>
      <c r="H52" s="401" t="e">
        <f>#REF!</f>
        <v>#REF!</v>
      </c>
      <c r="I52" s="400" t="e">
        <f t="shared" si="0"/>
        <v>#REF!</v>
      </c>
      <c r="J52" s="1280" t="e">
        <f t="shared" si="1"/>
        <v>#REF!</v>
      </c>
      <c r="K52" s="401" t="e">
        <f t="shared" si="2"/>
        <v>#REF!</v>
      </c>
      <c r="L52" s="724" t="e">
        <f t="shared" si="3"/>
        <v>#REF!</v>
      </c>
      <c r="M52" s="401" t="e">
        <f>#REF!</f>
        <v>#REF!</v>
      </c>
      <c r="N52" s="401" t="e">
        <f>#REF!</f>
        <v>#REF!</v>
      </c>
      <c r="O52" s="401" t="e">
        <f>#REF!</f>
        <v>#REF!</v>
      </c>
      <c r="P52" s="401" t="e">
        <f>#REF!</f>
        <v>#REF!</v>
      </c>
    </row>
    <row r="53" spans="1:16" ht="78.75" x14ac:dyDescent="0.2">
      <c r="A53" s="341" t="e">
        <f>#REF!</f>
        <v>#REF!</v>
      </c>
      <c r="B53" s="342" t="e">
        <f>#REF!</f>
        <v>#REF!</v>
      </c>
      <c r="C53" s="400" t="e">
        <f>#REF!</f>
        <v>#REF!</v>
      </c>
      <c r="D53" s="400" t="e">
        <f>#REF!</f>
        <v>#REF!</v>
      </c>
      <c r="E53" s="477" t="e">
        <f>#REF!</f>
        <v>#REF!</v>
      </c>
      <c r="F53" s="477" t="e">
        <f>#REF!</f>
        <v>#REF!</v>
      </c>
      <c r="G53" s="401" t="e">
        <f>#REF!</f>
        <v>#REF!</v>
      </c>
      <c r="H53" s="401" t="e">
        <f>#REF!</f>
        <v>#REF!</v>
      </c>
      <c r="I53" s="400" t="e">
        <f t="shared" si="0"/>
        <v>#REF!</v>
      </c>
      <c r="J53" s="1280" t="e">
        <f t="shared" si="1"/>
        <v>#REF!</v>
      </c>
      <c r="K53" s="401" t="e">
        <f t="shared" si="2"/>
        <v>#REF!</v>
      </c>
      <c r="L53" s="724" t="e">
        <f t="shared" si="3"/>
        <v>#REF!</v>
      </c>
      <c r="M53" s="401" t="e">
        <f>#REF!</f>
        <v>#REF!</v>
      </c>
      <c r="N53" s="401" t="e">
        <f>#REF!</f>
        <v>#REF!</v>
      </c>
      <c r="O53" s="401" t="e">
        <f>#REF!</f>
        <v>#REF!</v>
      </c>
      <c r="P53" s="401" t="e">
        <f>#REF!</f>
        <v>#REF!</v>
      </c>
    </row>
    <row r="54" spans="1:16" ht="76.5" x14ac:dyDescent="0.2">
      <c r="A54" s="343" t="e">
        <f>#REF!</f>
        <v>#REF!</v>
      </c>
      <c r="B54" s="347" t="e">
        <f>#REF!</f>
        <v>#REF!</v>
      </c>
      <c r="C54" s="389" t="e">
        <f>#REF!</f>
        <v>#REF!</v>
      </c>
      <c r="D54" s="389" t="e">
        <f>#REF!</f>
        <v>#REF!</v>
      </c>
      <c r="E54" s="477" t="e">
        <f>#REF!</f>
        <v>#REF!</v>
      </c>
      <c r="F54" s="477" t="e">
        <f>#REF!</f>
        <v>#REF!</v>
      </c>
      <c r="G54" s="390" t="e">
        <f>#REF!</f>
        <v>#REF!</v>
      </c>
      <c r="H54" s="390" t="e">
        <f>#REF!</f>
        <v>#REF!</v>
      </c>
      <c r="I54" s="389" t="e">
        <f t="shared" si="0"/>
        <v>#REF!</v>
      </c>
      <c r="J54" s="1279" t="e">
        <f t="shared" si="1"/>
        <v>#REF!</v>
      </c>
      <c r="K54" s="390" t="e">
        <f t="shared" si="2"/>
        <v>#REF!</v>
      </c>
      <c r="L54" s="509" t="e">
        <f t="shared" si="3"/>
        <v>#REF!</v>
      </c>
      <c r="M54" s="390" t="e">
        <f>#REF!</f>
        <v>#REF!</v>
      </c>
      <c r="N54" s="390" t="e">
        <f>#REF!</f>
        <v>#REF!</v>
      </c>
      <c r="O54" s="390" t="e">
        <f>#REF!</f>
        <v>#REF!</v>
      </c>
      <c r="P54" s="390" t="e">
        <f>#REF!</f>
        <v>#REF!</v>
      </c>
    </row>
    <row r="55" spans="1:16" ht="78.75" x14ac:dyDescent="0.2">
      <c r="A55" s="341" t="e">
        <f>#REF!</f>
        <v>#REF!</v>
      </c>
      <c r="B55" s="342" t="e">
        <f>#REF!</f>
        <v>#REF!</v>
      </c>
      <c r="C55" s="400" t="e">
        <f>#REF!</f>
        <v>#REF!</v>
      </c>
      <c r="D55" s="400" t="e">
        <f>#REF!</f>
        <v>#REF!</v>
      </c>
      <c r="E55" s="477" t="e">
        <f>#REF!</f>
        <v>#REF!</v>
      </c>
      <c r="F55" s="477" t="e">
        <f>#REF!</f>
        <v>#REF!</v>
      </c>
      <c r="G55" s="401" t="e">
        <f>#REF!</f>
        <v>#REF!</v>
      </c>
      <c r="H55" s="401" t="e">
        <f>#REF!</f>
        <v>#REF!</v>
      </c>
      <c r="I55" s="400" t="e">
        <f t="shared" si="0"/>
        <v>#REF!</v>
      </c>
      <c r="J55" s="1280" t="e">
        <f t="shared" si="1"/>
        <v>#REF!</v>
      </c>
      <c r="K55" s="401" t="e">
        <f t="shared" si="2"/>
        <v>#REF!</v>
      </c>
      <c r="L55" s="724" t="e">
        <f t="shared" si="3"/>
        <v>#REF!</v>
      </c>
      <c r="M55" s="401" t="e">
        <f>#REF!</f>
        <v>#REF!</v>
      </c>
      <c r="N55" s="401" t="e">
        <f>#REF!</f>
        <v>#REF!</v>
      </c>
      <c r="O55" s="401" t="e">
        <f>#REF!</f>
        <v>#REF!</v>
      </c>
      <c r="P55" s="401" t="e">
        <f>#REF!</f>
        <v>#REF!</v>
      </c>
    </row>
    <row r="56" spans="1:16" ht="78.75" x14ac:dyDescent="0.2">
      <c r="A56" s="963" t="e">
        <f>#REF!</f>
        <v>#REF!</v>
      </c>
      <c r="B56" s="964" t="e">
        <f>#REF!</f>
        <v>#REF!</v>
      </c>
      <c r="C56" s="952" t="e">
        <f>#REF!</f>
        <v>#REF!</v>
      </c>
      <c r="D56" s="952" t="e">
        <f>#REF!</f>
        <v>#REF!</v>
      </c>
      <c r="E56" s="953" t="e">
        <f>#REF!</f>
        <v>#REF!</v>
      </c>
      <c r="F56" s="953" t="e">
        <f>#REF!</f>
        <v>#REF!</v>
      </c>
      <c r="G56" s="954" t="e">
        <f>#REF!</f>
        <v>#REF!</v>
      </c>
      <c r="H56" s="954" t="e">
        <f>#REF!</f>
        <v>#REF!</v>
      </c>
      <c r="I56" s="952" t="e">
        <f t="shared" si="0"/>
        <v>#REF!</v>
      </c>
      <c r="J56" s="1275" t="e">
        <f t="shared" si="1"/>
        <v>#REF!</v>
      </c>
      <c r="K56" s="954" t="e">
        <f t="shared" si="2"/>
        <v>#REF!</v>
      </c>
      <c r="L56" s="955" t="e">
        <f t="shared" si="3"/>
        <v>#REF!</v>
      </c>
      <c r="M56" s="954" t="e">
        <f>#REF!</f>
        <v>#REF!</v>
      </c>
      <c r="N56" s="954" t="e">
        <f>#REF!</f>
        <v>#REF!</v>
      </c>
      <c r="O56" s="954" t="e">
        <f>#REF!</f>
        <v>#REF!</v>
      </c>
      <c r="P56" s="954" t="e">
        <f>#REF!</f>
        <v>#REF!</v>
      </c>
    </row>
    <row r="57" spans="1:16" ht="78.75" customHeight="1" x14ac:dyDescent="0.2">
      <c r="A57" s="963" t="e">
        <f>#REF!</f>
        <v>#REF!</v>
      </c>
      <c r="B57" s="964" t="e">
        <f>#REF!</f>
        <v>#REF!</v>
      </c>
      <c r="C57" s="952" t="e">
        <f>#REF!</f>
        <v>#REF!</v>
      </c>
      <c r="D57" s="952" t="e">
        <f>#REF!</f>
        <v>#REF!</v>
      </c>
      <c r="E57" s="953" t="e">
        <f>#REF!</f>
        <v>#REF!</v>
      </c>
      <c r="F57" s="953" t="e">
        <f>#REF!</f>
        <v>#REF!</v>
      </c>
      <c r="G57" s="954"/>
      <c r="H57" s="954" t="e">
        <f>#REF!</f>
        <v>#REF!</v>
      </c>
      <c r="I57" s="952" t="e">
        <f t="shared" si="0"/>
        <v>#REF!</v>
      </c>
      <c r="J57" s="1275"/>
      <c r="K57" s="954" t="e">
        <f t="shared" si="2"/>
        <v>#REF!</v>
      </c>
      <c r="L57" s="955"/>
      <c r="M57" s="954" t="e">
        <f>#REF!</f>
        <v>#REF!</v>
      </c>
      <c r="N57" s="954" t="e">
        <f>#REF!</f>
        <v>#REF!</v>
      </c>
      <c r="O57" s="954" t="e">
        <f>#REF!</f>
        <v>#REF!</v>
      </c>
      <c r="P57" s="954" t="e">
        <f>#REF!</f>
        <v>#REF!</v>
      </c>
    </row>
    <row r="58" spans="1:16" ht="78.75" x14ac:dyDescent="0.2">
      <c r="A58" s="963" t="e">
        <f>#REF!</f>
        <v>#REF!</v>
      </c>
      <c r="B58" s="964" t="e">
        <f>#REF!</f>
        <v>#REF!</v>
      </c>
      <c r="C58" s="952" t="e">
        <f>#REF!</f>
        <v>#REF!</v>
      </c>
      <c r="D58" s="952" t="e">
        <f>#REF!</f>
        <v>#REF!</v>
      </c>
      <c r="E58" s="953" t="e">
        <f>#REF!</f>
        <v>#REF!</v>
      </c>
      <c r="F58" s="953" t="e">
        <f>#REF!</f>
        <v>#REF!</v>
      </c>
      <c r="G58" s="954"/>
      <c r="H58" s="954" t="e">
        <f>#REF!</f>
        <v>#REF!</v>
      </c>
      <c r="I58" s="952" t="e">
        <f t="shared" si="0"/>
        <v>#REF!</v>
      </c>
      <c r="J58" s="1275"/>
      <c r="K58" s="954" t="e">
        <f t="shared" si="2"/>
        <v>#REF!</v>
      </c>
      <c r="L58" s="955"/>
      <c r="M58" s="954" t="e">
        <f>#REF!</f>
        <v>#REF!</v>
      </c>
      <c r="N58" s="954" t="e">
        <f>#REF!</f>
        <v>#REF!</v>
      </c>
      <c r="O58" s="954" t="e">
        <f>#REF!</f>
        <v>#REF!</v>
      </c>
      <c r="P58" s="954" t="e">
        <f>#REF!</f>
        <v>#REF!</v>
      </c>
    </row>
    <row r="59" spans="1:16" ht="78.75" customHeight="1" x14ac:dyDescent="0.2">
      <c r="A59" s="963" t="e">
        <f>#REF!</f>
        <v>#REF!</v>
      </c>
      <c r="B59" s="964" t="e">
        <f>#REF!</f>
        <v>#REF!</v>
      </c>
      <c r="C59" s="952" t="e">
        <f>#REF!</f>
        <v>#REF!</v>
      </c>
      <c r="D59" s="952" t="e">
        <f>#REF!</f>
        <v>#REF!</v>
      </c>
      <c r="E59" s="953" t="e">
        <f>#REF!</f>
        <v>#REF!</v>
      </c>
      <c r="F59" s="953" t="e">
        <f>#REF!</f>
        <v>#REF!</v>
      </c>
      <c r="G59" s="954" t="e">
        <f>#REF!</f>
        <v>#REF!</v>
      </c>
      <c r="H59" s="954" t="e">
        <f>#REF!</f>
        <v>#REF!</v>
      </c>
      <c r="I59" s="952" t="e">
        <f t="shared" si="0"/>
        <v>#REF!</v>
      </c>
      <c r="J59" s="1275"/>
      <c r="K59" s="954" t="e">
        <f t="shared" si="2"/>
        <v>#REF!</v>
      </c>
      <c r="L59" s="955"/>
      <c r="M59" s="954" t="e">
        <f>#REF!</f>
        <v>#REF!</v>
      </c>
      <c r="N59" s="954" t="e">
        <f>#REF!</f>
        <v>#REF!</v>
      </c>
      <c r="O59" s="954" t="e">
        <f>#REF!</f>
        <v>#REF!</v>
      </c>
      <c r="P59" s="954" t="e">
        <f>#REF!</f>
        <v>#REF!</v>
      </c>
    </row>
    <row r="60" spans="1:16" ht="78.75" x14ac:dyDescent="0.2">
      <c r="A60" s="963" t="e">
        <f>#REF!</f>
        <v>#REF!</v>
      </c>
      <c r="B60" s="964" t="e">
        <f>#REF!</f>
        <v>#REF!</v>
      </c>
      <c r="C60" s="952" t="e">
        <f>#REF!</f>
        <v>#REF!</v>
      </c>
      <c r="D60" s="952" t="e">
        <f>#REF!</f>
        <v>#REF!</v>
      </c>
      <c r="E60" s="953" t="e">
        <f>#REF!</f>
        <v>#REF!</v>
      </c>
      <c r="F60" s="953" t="e">
        <f>#REF!</f>
        <v>#REF!</v>
      </c>
      <c r="G60" s="954" t="e">
        <f>#REF!</f>
        <v>#REF!</v>
      </c>
      <c r="H60" s="954" t="e">
        <f>#REF!</f>
        <v>#REF!</v>
      </c>
      <c r="I60" s="952" t="e">
        <f t="shared" si="0"/>
        <v>#REF!</v>
      </c>
      <c r="J60" s="1275"/>
      <c r="K60" s="954" t="e">
        <f t="shared" si="2"/>
        <v>#REF!</v>
      </c>
      <c r="L60" s="955"/>
      <c r="M60" s="954" t="e">
        <f>#REF!</f>
        <v>#REF!</v>
      </c>
      <c r="N60" s="954" t="e">
        <f>#REF!</f>
        <v>#REF!</v>
      </c>
      <c r="O60" s="954" t="e">
        <f>#REF!</f>
        <v>#REF!</v>
      </c>
      <c r="P60" s="954" t="e">
        <f>#REF!</f>
        <v>#REF!</v>
      </c>
    </row>
    <row r="61" spans="1:16" ht="78.75" x14ac:dyDescent="0.2">
      <c r="A61" s="963" t="e">
        <f>#REF!</f>
        <v>#REF!</v>
      </c>
      <c r="B61" s="964" t="e">
        <f>#REF!</f>
        <v>#REF!</v>
      </c>
      <c r="C61" s="952" t="e">
        <f>#REF!</f>
        <v>#REF!</v>
      </c>
      <c r="D61" s="952" t="e">
        <f>#REF!</f>
        <v>#REF!</v>
      </c>
      <c r="E61" s="953" t="e">
        <f>#REF!</f>
        <v>#REF!</v>
      </c>
      <c r="F61" s="953" t="e">
        <f>#REF!</f>
        <v>#REF!</v>
      </c>
      <c r="G61" s="954" t="e">
        <f>#REF!</f>
        <v>#REF!</v>
      </c>
      <c r="H61" s="954" t="e">
        <f>#REF!</f>
        <v>#REF!</v>
      </c>
      <c r="I61" s="952" t="e">
        <f t="shared" ref="I61:I63" si="4">D61-C61</f>
        <v>#REF!</v>
      </c>
      <c r="J61" s="1275"/>
      <c r="K61" s="954" t="e">
        <f t="shared" ref="K61:K63" si="5">H61-G61</f>
        <v>#REF!</v>
      </c>
      <c r="L61" s="955"/>
      <c r="M61" s="954" t="e">
        <f>#REF!</f>
        <v>#REF!</v>
      </c>
      <c r="N61" s="954" t="e">
        <f>#REF!</f>
        <v>#REF!</v>
      </c>
      <c r="O61" s="954" t="e">
        <f>#REF!</f>
        <v>#REF!</v>
      </c>
      <c r="P61" s="954" t="e">
        <f>#REF!</f>
        <v>#REF!</v>
      </c>
    </row>
    <row r="62" spans="1:16" ht="78.75" x14ac:dyDescent="0.2">
      <c r="A62" s="963" t="e">
        <f>#REF!</f>
        <v>#REF!</v>
      </c>
      <c r="B62" s="964" t="e">
        <f>#REF!</f>
        <v>#REF!</v>
      </c>
      <c r="C62" s="952" t="e">
        <f>#REF!</f>
        <v>#REF!</v>
      </c>
      <c r="D62" s="952" t="e">
        <f>#REF!</f>
        <v>#REF!</v>
      </c>
      <c r="E62" s="953" t="e">
        <f>#REF!</f>
        <v>#REF!</v>
      </c>
      <c r="F62" s="953" t="e">
        <f>#REF!</f>
        <v>#REF!</v>
      </c>
      <c r="G62" s="954" t="e">
        <f>#REF!</f>
        <v>#REF!</v>
      </c>
      <c r="H62" s="954" t="e">
        <f>#REF!</f>
        <v>#REF!</v>
      </c>
      <c r="I62" s="952" t="e">
        <f t="shared" si="4"/>
        <v>#REF!</v>
      </c>
      <c r="J62" s="1275"/>
      <c r="K62" s="954" t="e">
        <f t="shared" si="5"/>
        <v>#REF!</v>
      </c>
      <c r="L62" s="955"/>
      <c r="M62" s="954" t="e">
        <f>#REF!</f>
        <v>#REF!</v>
      </c>
      <c r="N62" s="954" t="e">
        <f>#REF!</f>
        <v>#REF!</v>
      </c>
      <c r="O62" s="954" t="e">
        <f>#REF!</f>
        <v>#REF!</v>
      </c>
      <c r="P62" s="954" t="e">
        <f>#REF!</f>
        <v>#REF!</v>
      </c>
    </row>
    <row r="63" spans="1:16" ht="78.75" x14ac:dyDescent="0.2">
      <c r="A63" s="963" t="e">
        <f>#REF!</f>
        <v>#REF!</v>
      </c>
      <c r="B63" s="964" t="e">
        <f>#REF!</f>
        <v>#REF!</v>
      </c>
      <c r="C63" s="952" t="e">
        <f>#REF!</f>
        <v>#REF!</v>
      </c>
      <c r="D63" s="952" t="e">
        <f>#REF!</f>
        <v>#REF!</v>
      </c>
      <c r="E63" s="953" t="e">
        <f>#REF!</f>
        <v>#REF!</v>
      </c>
      <c r="F63" s="953" t="e">
        <f>#REF!</f>
        <v>#REF!</v>
      </c>
      <c r="G63" s="954" t="e">
        <f>#REF!</f>
        <v>#REF!</v>
      </c>
      <c r="H63" s="954" t="e">
        <f>#REF!</f>
        <v>#REF!</v>
      </c>
      <c r="I63" s="952" t="e">
        <f t="shared" si="4"/>
        <v>#REF!</v>
      </c>
      <c r="J63" s="1275"/>
      <c r="K63" s="954" t="e">
        <f t="shared" si="5"/>
        <v>#REF!</v>
      </c>
      <c r="L63" s="955"/>
      <c r="M63" s="954" t="e">
        <f>#REF!</f>
        <v>#REF!</v>
      </c>
      <c r="N63" s="954" t="e">
        <f>#REF!</f>
        <v>#REF!</v>
      </c>
      <c r="O63" s="954" t="e">
        <f>#REF!</f>
        <v>#REF!</v>
      </c>
      <c r="P63" s="954" t="e">
        <f>#REF!</f>
        <v>#REF!</v>
      </c>
    </row>
    <row r="64" spans="1:16" ht="78.75" customHeight="1" x14ac:dyDescent="0.2">
      <c r="A64" s="963" t="e">
        <f>#REF!</f>
        <v>#REF!</v>
      </c>
      <c r="B64" s="964" t="e">
        <f>#REF!</f>
        <v>#REF!</v>
      </c>
      <c r="C64" s="952" t="e">
        <f>#REF!</f>
        <v>#REF!</v>
      </c>
      <c r="D64" s="952" t="e">
        <f>#REF!</f>
        <v>#REF!</v>
      </c>
      <c r="E64" s="953" t="e">
        <f>#REF!</f>
        <v>#REF!</v>
      </c>
      <c r="F64" s="953" t="e">
        <f>#REF!</f>
        <v>#REF!</v>
      </c>
      <c r="G64" s="954" t="e">
        <f>#REF!</f>
        <v>#REF!</v>
      </c>
      <c r="H64" s="954" t="e">
        <f>#REF!</f>
        <v>#REF!</v>
      </c>
      <c r="I64" s="952" t="e">
        <f t="shared" ref="I64:I65" si="6">D64-C64</f>
        <v>#REF!</v>
      </c>
      <c r="J64" s="1275"/>
      <c r="K64" s="954" t="e">
        <f t="shared" ref="K64:K65" si="7">H64-G64</f>
        <v>#REF!</v>
      </c>
      <c r="L64" s="955"/>
      <c r="M64" s="954" t="e">
        <f>#REF!</f>
        <v>#REF!</v>
      </c>
      <c r="N64" s="954" t="e">
        <f>#REF!</f>
        <v>#REF!</v>
      </c>
      <c r="O64" s="954" t="e">
        <f>#REF!</f>
        <v>#REF!</v>
      </c>
      <c r="P64" s="954" t="e">
        <f>#REF!</f>
        <v>#REF!</v>
      </c>
    </row>
    <row r="65" spans="1:16" ht="78.75" x14ac:dyDescent="0.2">
      <c r="A65" s="963" t="e">
        <f>#REF!</f>
        <v>#REF!</v>
      </c>
      <c r="B65" s="964" t="e">
        <f>#REF!</f>
        <v>#REF!</v>
      </c>
      <c r="C65" s="952" t="e">
        <f>#REF!</f>
        <v>#REF!</v>
      </c>
      <c r="D65" s="952" t="e">
        <f>#REF!</f>
        <v>#REF!</v>
      </c>
      <c r="E65" s="953" t="e">
        <f>#REF!</f>
        <v>#REF!</v>
      </c>
      <c r="F65" s="953" t="e">
        <f>#REF!</f>
        <v>#REF!</v>
      </c>
      <c r="G65" s="954" t="e">
        <f>#REF!</f>
        <v>#REF!</v>
      </c>
      <c r="H65" s="954" t="e">
        <f>#REF!</f>
        <v>#REF!</v>
      </c>
      <c r="I65" s="952" t="e">
        <f t="shared" si="6"/>
        <v>#REF!</v>
      </c>
      <c r="J65" s="1275"/>
      <c r="K65" s="954" t="e">
        <f t="shared" si="7"/>
        <v>#REF!</v>
      </c>
      <c r="L65" s="955"/>
      <c r="M65" s="954" t="e">
        <f>#REF!</f>
        <v>#REF!</v>
      </c>
      <c r="N65" s="954" t="e">
        <f>#REF!</f>
        <v>#REF!</v>
      </c>
      <c r="O65" s="954" t="e">
        <f>#REF!</f>
        <v>#REF!</v>
      </c>
      <c r="P65" s="954" t="e">
        <f>#REF!</f>
        <v>#REF!</v>
      </c>
    </row>
    <row r="66" spans="1:16" ht="76.5" x14ac:dyDescent="0.2">
      <c r="A66" s="1230" t="e">
        <f>#REF!</f>
        <v>#REF!</v>
      </c>
      <c r="B66" s="1231" t="e">
        <f>#REF!</f>
        <v>#REF!</v>
      </c>
      <c r="C66" s="400" t="e">
        <f>#REF!</f>
        <v>#REF!</v>
      </c>
      <c r="D66" s="400" t="e">
        <f>#REF!</f>
        <v>#REF!</v>
      </c>
      <c r="E66" s="477" t="e">
        <f>#REF!</f>
        <v>#REF!</v>
      </c>
      <c r="F66" s="477" t="e">
        <f>#REF!</f>
        <v>#REF!</v>
      </c>
      <c r="G66" s="401" t="e">
        <f>#REF!</f>
        <v>#REF!</v>
      </c>
      <c r="H66" s="401" t="e">
        <f>#REF!</f>
        <v>#REF!</v>
      </c>
      <c r="I66" s="400" t="e">
        <f t="shared" si="0"/>
        <v>#REF!</v>
      </c>
      <c r="J66" s="1280" t="e">
        <f t="shared" si="1"/>
        <v>#REF!</v>
      </c>
      <c r="K66" s="401" t="e">
        <f t="shared" si="2"/>
        <v>#REF!</v>
      </c>
      <c r="L66" s="724" t="e">
        <f t="shared" si="3"/>
        <v>#REF!</v>
      </c>
      <c r="M66" s="401" t="e">
        <f>#REF!</f>
        <v>#REF!</v>
      </c>
      <c r="N66" s="401" t="e">
        <f>#REF!</f>
        <v>#REF!</v>
      </c>
      <c r="O66" s="401" t="e">
        <f>#REF!</f>
        <v>#REF!</v>
      </c>
      <c r="P66" s="401" t="e">
        <f>#REF!</f>
        <v>#REF!</v>
      </c>
    </row>
    <row r="67" spans="1:16" ht="78.75" x14ac:dyDescent="0.2">
      <c r="A67" s="411" t="e">
        <f>#REF!</f>
        <v>#REF!</v>
      </c>
      <c r="B67" s="417" t="e">
        <f>#REF!</f>
        <v>#REF!</v>
      </c>
      <c r="C67" s="400" t="e">
        <f>#REF!</f>
        <v>#REF!</v>
      </c>
      <c r="D67" s="400" t="e">
        <f>#REF!</f>
        <v>#REF!</v>
      </c>
      <c r="E67" s="477" t="e">
        <f>#REF!</f>
        <v>#REF!</v>
      </c>
      <c r="F67" s="477" t="e">
        <f>#REF!</f>
        <v>#REF!</v>
      </c>
      <c r="G67" s="401" t="e">
        <f>#REF!</f>
        <v>#REF!</v>
      </c>
      <c r="H67" s="401" t="e">
        <f>#REF!</f>
        <v>#REF!</v>
      </c>
      <c r="I67" s="400" t="e">
        <f t="shared" si="0"/>
        <v>#REF!</v>
      </c>
      <c r="J67" s="1280" t="e">
        <f t="shared" si="1"/>
        <v>#REF!</v>
      </c>
      <c r="K67" s="401" t="e">
        <f t="shared" si="2"/>
        <v>#REF!</v>
      </c>
      <c r="L67" s="724" t="e">
        <f t="shared" si="3"/>
        <v>#REF!</v>
      </c>
      <c r="M67" s="401" t="e">
        <f>#REF!</f>
        <v>#REF!</v>
      </c>
      <c r="N67" s="401" t="e">
        <f>#REF!</f>
        <v>#REF!</v>
      </c>
      <c r="O67" s="401" t="e">
        <f>#REF!</f>
        <v>#REF!</v>
      </c>
      <c r="P67" s="401" t="e">
        <f>#REF!</f>
        <v>#REF!</v>
      </c>
    </row>
    <row r="68" spans="1:16" ht="78.75" x14ac:dyDescent="0.2">
      <c r="A68" s="411" t="e">
        <f>#REF!</f>
        <v>#REF!</v>
      </c>
      <c r="B68" s="417" t="e">
        <f>#REF!</f>
        <v>#REF!</v>
      </c>
      <c r="C68" s="400" t="e">
        <f>#REF!</f>
        <v>#REF!</v>
      </c>
      <c r="D68" s="400" t="e">
        <f>#REF!</f>
        <v>#REF!</v>
      </c>
      <c r="E68" s="477" t="e">
        <f>#REF!</f>
        <v>#REF!</v>
      </c>
      <c r="F68" s="477" t="e">
        <f>#REF!</f>
        <v>#REF!</v>
      </c>
      <c r="G68" s="401" t="e">
        <f>#REF!</f>
        <v>#REF!</v>
      </c>
      <c r="H68" s="401" t="e">
        <f>#REF!</f>
        <v>#REF!</v>
      </c>
      <c r="I68" s="400" t="e">
        <f t="shared" si="0"/>
        <v>#REF!</v>
      </c>
      <c r="J68" s="1280" t="e">
        <f t="shared" si="1"/>
        <v>#REF!</v>
      </c>
      <c r="K68" s="401" t="e">
        <f t="shared" si="2"/>
        <v>#REF!</v>
      </c>
      <c r="L68" s="724" t="e">
        <f t="shared" si="3"/>
        <v>#REF!</v>
      </c>
      <c r="M68" s="401" t="e">
        <f>#REF!</f>
        <v>#REF!</v>
      </c>
      <c r="N68" s="401" t="e">
        <f>#REF!</f>
        <v>#REF!</v>
      </c>
      <c r="O68" s="401" t="e">
        <f>#REF!</f>
        <v>#REF!</v>
      </c>
      <c r="P68" s="401" t="e">
        <f>#REF!</f>
        <v>#REF!</v>
      </c>
    </row>
    <row r="69" spans="1:16" ht="30" x14ac:dyDescent="0.2">
      <c r="A69" s="1264" t="e">
        <f>#REF!</f>
        <v>#REF!</v>
      </c>
      <c r="B69" s="1265" t="e">
        <f>#REF!</f>
        <v>#REF!</v>
      </c>
      <c r="C69" s="1266" t="e">
        <f>#REF!</f>
        <v>#REF!</v>
      </c>
      <c r="D69" s="1266" t="e">
        <f>#REF!</f>
        <v>#REF!</v>
      </c>
      <c r="E69" s="1267" t="e">
        <f>#REF!</f>
        <v>#REF!</v>
      </c>
      <c r="F69" s="1267" t="e">
        <f>#REF!</f>
        <v>#REF!</v>
      </c>
      <c r="G69" s="1268" t="e">
        <f>#REF!</f>
        <v>#REF!</v>
      </c>
      <c r="H69" s="1268" t="e">
        <f>#REF!</f>
        <v>#REF!</v>
      </c>
      <c r="I69" s="1268" t="e">
        <f>#REF!</f>
        <v>#REF!</v>
      </c>
      <c r="J69" s="1268" t="e">
        <f>#REF!</f>
        <v>#REF!</v>
      </c>
      <c r="K69" s="1268" t="e">
        <f>#REF!</f>
        <v>#REF!</v>
      </c>
      <c r="L69" s="1268" t="e">
        <f>#REF!</f>
        <v>#REF!</v>
      </c>
      <c r="M69" s="1268" t="e">
        <f>#REF!</f>
        <v>#REF!</v>
      </c>
      <c r="N69" s="1268" t="e">
        <f>#REF!</f>
        <v>#REF!</v>
      </c>
      <c r="O69" s="1268" t="e">
        <f>#REF!</f>
        <v>#REF!</v>
      </c>
      <c r="P69" s="1268" t="e">
        <f>#REF!</f>
        <v>#REF!</v>
      </c>
    </row>
    <row r="70" spans="1:16" ht="52.5" x14ac:dyDescent="0.2">
      <c r="A70" s="1239" t="e">
        <f>#REF!</f>
        <v>#REF!</v>
      </c>
      <c r="B70" s="1251" t="e">
        <f>#REF!</f>
        <v>#REF!</v>
      </c>
      <c r="C70" s="1240" t="e">
        <f>#REF!</f>
        <v>#REF!</v>
      </c>
      <c r="D70" s="1240" t="e">
        <f>#REF!</f>
        <v>#REF!</v>
      </c>
      <c r="E70" s="1236" t="e">
        <f>#REF!</f>
        <v>#REF!</v>
      </c>
      <c r="F70" s="1236" t="e">
        <f>#REF!</f>
        <v>#REF!</v>
      </c>
      <c r="G70" s="1241" t="e">
        <f>#REF!</f>
        <v>#REF!</v>
      </c>
      <c r="H70" s="1241" t="e">
        <f>#REF!</f>
        <v>#REF!</v>
      </c>
      <c r="I70" s="1235" t="e">
        <f t="shared" si="0"/>
        <v>#REF!</v>
      </c>
      <c r="J70" s="1273" t="e">
        <f t="shared" si="1"/>
        <v>#REF!</v>
      </c>
      <c r="K70" s="1237" t="e">
        <f t="shared" si="2"/>
        <v>#REF!</v>
      </c>
      <c r="L70" s="1238" t="e">
        <f t="shared" si="3"/>
        <v>#REF!</v>
      </c>
      <c r="M70" s="1237" t="e">
        <f>#REF!</f>
        <v>#REF!</v>
      </c>
      <c r="N70" s="1237" t="e">
        <f>#REF!</f>
        <v>#REF!</v>
      </c>
      <c r="O70" s="1237" t="e">
        <f>#REF!</f>
        <v>#REF!</v>
      </c>
      <c r="P70" s="1237" t="e">
        <f>#REF!</f>
        <v>#REF!</v>
      </c>
    </row>
    <row r="71" spans="1:16" ht="102" x14ac:dyDescent="0.2">
      <c r="A71" s="1244" t="e">
        <f>#REF!</f>
        <v>#REF!</v>
      </c>
      <c r="B71" s="1253" t="e">
        <f>#REF!</f>
        <v>#REF!</v>
      </c>
      <c r="C71" s="392" t="e">
        <f>#REF!</f>
        <v>#REF!</v>
      </c>
      <c r="D71" s="392" t="e">
        <f>#REF!</f>
        <v>#REF!</v>
      </c>
      <c r="E71" s="1246" t="e">
        <f>#REF!</f>
        <v>#REF!</v>
      </c>
      <c r="F71" s="1246" t="e">
        <f>#REF!</f>
        <v>#REF!</v>
      </c>
      <c r="G71" s="382" t="e">
        <f>#REF!</f>
        <v>#REF!</v>
      </c>
      <c r="H71" s="382" t="e">
        <f>#REF!</f>
        <v>#REF!</v>
      </c>
      <c r="I71" s="382" t="e">
        <f t="shared" si="0"/>
        <v>#REF!</v>
      </c>
      <c r="J71" s="1277" t="e">
        <f t="shared" si="1"/>
        <v>#REF!</v>
      </c>
      <c r="K71" s="382" t="e">
        <f t="shared" si="2"/>
        <v>#REF!</v>
      </c>
      <c r="L71" s="383" t="e">
        <f t="shared" si="3"/>
        <v>#REF!</v>
      </c>
      <c r="M71" s="382" t="e">
        <f>#REF!</f>
        <v>#REF!</v>
      </c>
      <c r="N71" s="382" t="e">
        <f>#REF!</f>
        <v>#REF!</v>
      </c>
      <c r="O71" s="382" t="e">
        <f>#REF!</f>
        <v>#REF!</v>
      </c>
      <c r="P71" s="382" t="e">
        <f>#REF!</f>
        <v>#REF!</v>
      </c>
    </row>
    <row r="72" spans="1:16" ht="51" x14ac:dyDescent="0.2">
      <c r="A72" s="343" t="e">
        <f>#REF!</f>
        <v>#REF!</v>
      </c>
      <c r="B72" s="347" t="e">
        <f>#REF!</f>
        <v>#REF!</v>
      </c>
      <c r="C72" s="389" t="e">
        <f>#REF!</f>
        <v>#REF!</v>
      </c>
      <c r="D72" s="389" t="e">
        <f>#REF!</f>
        <v>#REF!</v>
      </c>
      <c r="E72" s="477" t="e">
        <f>#REF!</f>
        <v>#REF!</v>
      </c>
      <c r="F72" s="477" t="e">
        <f>#REF!</f>
        <v>#REF!</v>
      </c>
      <c r="G72" s="390" t="e">
        <f>#REF!</f>
        <v>#REF!</v>
      </c>
      <c r="H72" s="390" t="e">
        <f>#REF!</f>
        <v>#REF!</v>
      </c>
      <c r="I72" s="389" t="e">
        <f t="shared" si="0"/>
        <v>#REF!</v>
      </c>
      <c r="J72" s="1279" t="e">
        <f t="shared" si="1"/>
        <v>#REF!</v>
      </c>
      <c r="K72" s="390" t="e">
        <f t="shared" si="2"/>
        <v>#REF!</v>
      </c>
      <c r="L72" s="724" t="e">
        <f t="shared" si="3"/>
        <v>#REF!</v>
      </c>
      <c r="M72" s="390" t="e">
        <f>#REF!</f>
        <v>#REF!</v>
      </c>
      <c r="N72" s="390" t="e">
        <f>#REF!</f>
        <v>#REF!</v>
      </c>
      <c r="O72" s="390" t="e">
        <f>#REF!</f>
        <v>#REF!</v>
      </c>
      <c r="P72" s="401" t="e">
        <f>#REF!</f>
        <v>#REF!</v>
      </c>
    </row>
    <row r="73" spans="1:16" ht="76.5" x14ac:dyDescent="0.2">
      <c r="A73" s="343" t="e">
        <f>#REF!</f>
        <v>#REF!</v>
      </c>
      <c r="B73" s="347" t="e">
        <f>#REF!</f>
        <v>#REF!</v>
      </c>
      <c r="C73" s="389" t="e">
        <f>#REF!</f>
        <v>#REF!</v>
      </c>
      <c r="D73" s="389" t="e">
        <f>#REF!</f>
        <v>#REF!</v>
      </c>
      <c r="E73" s="477" t="e">
        <f>#REF!</f>
        <v>#REF!</v>
      </c>
      <c r="F73" s="477" t="e">
        <f>#REF!</f>
        <v>#REF!</v>
      </c>
      <c r="G73" s="390" t="e">
        <f>#REF!</f>
        <v>#REF!</v>
      </c>
      <c r="H73" s="390" t="e">
        <f>#REF!</f>
        <v>#REF!</v>
      </c>
      <c r="I73" s="400" t="e">
        <f t="shared" si="0"/>
        <v>#REF!</v>
      </c>
      <c r="J73" s="1280" t="e">
        <f t="shared" si="1"/>
        <v>#REF!</v>
      </c>
      <c r="K73" s="401" t="e">
        <f t="shared" si="2"/>
        <v>#REF!</v>
      </c>
      <c r="L73" s="724" t="e">
        <f t="shared" si="3"/>
        <v>#REF!</v>
      </c>
      <c r="M73" s="401" t="e">
        <f>#REF!</f>
        <v>#REF!</v>
      </c>
      <c r="N73" s="401" t="e">
        <f>#REF!</f>
        <v>#REF!</v>
      </c>
      <c r="O73" s="401" t="e">
        <f>#REF!</f>
        <v>#REF!</v>
      </c>
      <c r="P73" s="401" t="e">
        <f>#REF!</f>
        <v>#REF!</v>
      </c>
    </row>
    <row r="74" spans="1:16" ht="102" x14ac:dyDescent="0.2">
      <c r="A74" s="1247" t="e">
        <f>#REF!</f>
        <v>#REF!</v>
      </c>
      <c r="B74" s="1252" t="e">
        <f>#REF!</f>
        <v>#REF!</v>
      </c>
      <c r="C74" s="1249" t="e">
        <f>#REF!</f>
        <v>#REF!</v>
      </c>
      <c r="D74" s="1249" t="e">
        <f>#REF!</f>
        <v>#REF!</v>
      </c>
      <c r="E74" s="394" t="e">
        <f>#REF!</f>
        <v>#REF!</v>
      </c>
      <c r="F74" s="394" t="e">
        <f>#REF!</f>
        <v>#REF!</v>
      </c>
      <c r="G74" s="1250" t="e">
        <f>#REF!</f>
        <v>#REF!</v>
      </c>
      <c r="H74" s="1250" t="e">
        <f>#REF!</f>
        <v>#REF!</v>
      </c>
      <c r="I74" s="1250" t="e">
        <f t="shared" si="0"/>
        <v>#REF!</v>
      </c>
      <c r="J74" s="1281" t="e">
        <f t="shared" si="1"/>
        <v>#REF!</v>
      </c>
      <c r="K74" s="1250" t="e">
        <f t="shared" si="2"/>
        <v>#REF!</v>
      </c>
      <c r="L74" s="379" t="e">
        <f t="shared" si="3"/>
        <v>#REF!</v>
      </c>
      <c r="M74" s="1250" t="e">
        <f>#REF!</f>
        <v>#REF!</v>
      </c>
      <c r="N74" s="1250" t="e">
        <f>#REF!</f>
        <v>#REF!</v>
      </c>
      <c r="O74" s="1250" t="e">
        <f>#REF!</f>
        <v>#REF!</v>
      </c>
      <c r="P74" s="1250" t="e">
        <f>#REF!</f>
        <v>#REF!</v>
      </c>
    </row>
    <row r="75" spans="1:16" ht="76.5" x14ac:dyDescent="0.2">
      <c r="A75" s="341" t="e">
        <f>#REF!</f>
        <v>#REF!</v>
      </c>
      <c r="B75" s="511" t="e">
        <f>#REF!</f>
        <v>#REF!</v>
      </c>
      <c r="C75" s="400" t="e">
        <f>#REF!</f>
        <v>#REF!</v>
      </c>
      <c r="D75" s="400" t="e">
        <f>#REF!</f>
        <v>#REF!</v>
      </c>
      <c r="E75" s="477" t="e">
        <f>#REF!</f>
        <v>#REF!</v>
      </c>
      <c r="F75" s="477" t="e">
        <f>#REF!</f>
        <v>#REF!</v>
      </c>
      <c r="G75" s="401" t="e">
        <f>#REF!</f>
        <v>#REF!</v>
      </c>
      <c r="H75" s="401" t="e">
        <f>#REF!</f>
        <v>#REF!</v>
      </c>
      <c r="I75" s="400" t="e">
        <f t="shared" si="0"/>
        <v>#REF!</v>
      </c>
      <c r="J75" s="1280" t="e">
        <f t="shared" si="1"/>
        <v>#REF!</v>
      </c>
      <c r="K75" s="401" t="e">
        <f t="shared" si="2"/>
        <v>#REF!</v>
      </c>
      <c r="L75" s="724" t="e">
        <f t="shared" si="3"/>
        <v>#REF!</v>
      </c>
      <c r="M75" s="401" t="e">
        <f>#REF!</f>
        <v>#REF!</v>
      </c>
      <c r="N75" s="401" t="e">
        <f>#REF!</f>
        <v>#REF!</v>
      </c>
      <c r="O75" s="401" t="e">
        <f>#REF!</f>
        <v>#REF!</v>
      </c>
      <c r="P75" s="401" t="e">
        <f>#REF!</f>
        <v>#REF!</v>
      </c>
    </row>
    <row r="76" spans="1:16" ht="78.75" x14ac:dyDescent="0.2">
      <c r="A76" s="341" t="e">
        <f>#REF!</f>
        <v>#REF!</v>
      </c>
      <c r="B76" s="413" t="e">
        <f>#REF!</f>
        <v>#REF!</v>
      </c>
      <c r="C76" s="400" t="e">
        <f>#REF!</f>
        <v>#REF!</v>
      </c>
      <c r="D76" s="400" t="e">
        <f>#REF!</f>
        <v>#REF!</v>
      </c>
      <c r="E76" s="477" t="e">
        <f>#REF!</f>
        <v>#REF!</v>
      </c>
      <c r="F76" s="477" t="e">
        <f>#REF!</f>
        <v>#REF!</v>
      </c>
      <c r="G76" s="401" t="e">
        <f>#REF!</f>
        <v>#REF!</v>
      </c>
      <c r="H76" s="401" t="e">
        <f>#REF!</f>
        <v>#REF!</v>
      </c>
      <c r="I76" s="400" t="e">
        <f t="shared" ref="I76" si="8">D76-C76</f>
        <v>#REF!</v>
      </c>
      <c r="J76" s="1280" t="e">
        <f t="shared" si="1"/>
        <v>#REF!</v>
      </c>
      <c r="K76" s="401" t="e">
        <f t="shared" ref="K76:K82" si="9">H76-G76</f>
        <v>#REF!</v>
      </c>
      <c r="L76" s="724" t="e">
        <f t="shared" ref="L76:L82" si="10">H76/G76</f>
        <v>#REF!</v>
      </c>
      <c r="M76" s="401" t="e">
        <f>#REF!</f>
        <v>#REF!</v>
      </c>
      <c r="N76" s="401" t="e">
        <f>#REF!</f>
        <v>#REF!</v>
      </c>
      <c r="O76" s="401" t="e">
        <f>#REF!</f>
        <v>#REF!</v>
      </c>
      <c r="P76" s="401" t="e">
        <f>#REF!</f>
        <v>#REF!</v>
      </c>
    </row>
    <row r="77" spans="1:16" ht="30.75" x14ac:dyDescent="0.2">
      <c r="A77" s="348" t="s">
        <v>128</v>
      </c>
      <c r="B77" s="359" t="s">
        <v>87</v>
      </c>
      <c r="C77" s="365" t="s">
        <v>87</v>
      </c>
      <c r="D77" s="363"/>
      <c r="E77" s="385"/>
      <c r="F77" s="385"/>
      <c r="G77" s="395" t="e">
        <f>#REF!</f>
        <v>#REF!</v>
      </c>
      <c r="H77" s="395" t="e">
        <f>#REF!</f>
        <v>#REF!</v>
      </c>
      <c r="I77" s="1263"/>
      <c r="J77" s="1263"/>
      <c r="K77" s="1263" t="e">
        <f t="shared" si="9"/>
        <v>#REF!</v>
      </c>
      <c r="L77" s="1262" t="e">
        <f t="shared" si="10"/>
        <v>#REF!</v>
      </c>
      <c r="M77" s="1261"/>
      <c r="N77" s="1261"/>
      <c r="O77" s="1261"/>
      <c r="P77" s="1261"/>
    </row>
    <row r="78" spans="1:16" ht="30.75" x14ac:dyDescent="0.2">
      <c r="A78" s="348" t="s">
        <v>129</v>
      </c>
      <c r="B78" s="359" t="s">
        <v>87</v>
      </c>
      <c r="C78" s="365" t="s">
        <v>87</v>
      </c>
      <c r="D78" s="363"/>
      <c r="E78" s="385"/>
      <c r="F78" s="385"/>
      <c r="G78" s="395" t="e">
        <f>#REF!</f>
        <v>#REF!</v>
      </c>
      <c r="H78" s="395" t="e">
        <f>#REF!</f>
        <v>#REF!</v>
      </c>
      <c r="I78" s="1263"/>
      <c r="J78" s="1263"/>
      <c r="K78" s="1263" t="e">
        <f t="shared" si="9"/>
        <v>#REF!</v>
      </c>
      <c r="L78" s="1262" t="e">
        <f t="shared" si="10"/>
        <v>#REF!</v>
      </c>
      <c r="M78" s="1261"/>
      <c r="N78" s="1261"/>
      <c r="O78" s="1261"/>
      <c r="P78" s="1261"/>
    </row>
    <row r="79" spans="1:16" ht="30" x14ac:dyDescent="0.2">
      <c r="A79" s="355" t="s">
        <v>118</v>
      </c>
      <c r="B79" s="356" t="s">
        <v>87</v>
      </c>
      <c r="C79" s="364" t="s">
        <v>87</v>
      </c>
      <c r="D79" s="364"/>
      <c r="E79" s="364"/>
      <c r="F79" s="364"/>
      <c r="G79" s="364"/>
      <c r="H79" s="364"/>
      <c r="I79" s="392"/>
      <c r="J79" s="392"/>
      <c r="K79" s="382"/>
      <c r="L79" s="383"/>
      <c r="M79" s="382"/>
      <c r="N79" s="382"/>
      <c r="O79" s="382"/>
      <c r="P79" s="382"/>
    </row>
    <row r="80" spans="1:16" ht="30" x14ac:dyDescent="0.2">
      <c r="A80" s="357" t="s">
        <v>128</v>
      </c>
      <c r="B80" s="359" t="s">
        <v>87</v>
      </c>
      <c r="C80" s="365" t="s">
        <v>87</v>
      </c>
      <c r="D80" s="363"/>
      <c r="E80" s="385"/>
      <c r="F80" s="385"/>
      <c r="G80" s="385" t="e">
        <f>#REF!</f>
        <v>#REF!</v>
      </c>
      <c r="H80" s="385" t="e">
        <f>#REF!</f>
        <v>#REF!</v>
      </c>
      <c r="I80" s="1260"/>
      <c r="J80" s="1260"/>
      <c r="K80" s="1261" t="e">
        <f t="shared" si="9"/>
        <v>#REF!</v>
      </c>
      <c r="L80" s="1262" t="e">
        <f t="shared" si="10"/>
        <v>#REF!</v>
      </c>
      <c r="M80" s="1261" t="e">
        <f>#REF!</f>
        <v>#REF!</v>
      </c>
      <c r="N80" s="1261" t="e">
        <f>#REF!</f>
        <v>#REF!</v>
      </c>
      <c r="O80" s="1261" t="e">
        <f>#REF!</f>
        <v>#REF!</v>
      </c>
      <c r="P80" s="1261" t="e">
        <f>#REF!</f>
        <v>#REF!</v>
      </c>
    </row>
    <row r="81" spans="1:16" ht="30" x14ac:dyDescent="0.2">
      <c r="A81" s="357" t="s">
        <v>129</v>
      </c>
      <c r="B81" s="359" t="s">
        <v>87</v>
      </c>
      <c r="C81" s="365" t="s">
        <v>87</v>
      </c>
      <c r="D81" s="363"/>
      <c r="E81" s="385"/>
      <c r="F81" s="385"/>
      <c r="G81" s="385" t="e">
        <f>#REF!</f>
        <v>#REF!</v>
      </c>
      <c r="H81" s="385" t="e">
        <f>#REF!</f>
        <v>#REF!</v>
      </c>
      <c r="I81" s="1260"/>
      <c r="J81" s="1260"/>
      <c r="K81" s="1261" t="e">
        <f t="shared" si="9"/>
        <v>#REF!</v>
      </c>
      <c r="L81" s="1262" t="e">
        <f t="shared" si="10"/>
        <v>#REF!</v>
      </c>
      <c r="M81" s="1261" t="e">
        <f>#REF!</f>
        <v>#REF!</v>
      </c>
      <c r="N81" s="1261"/>
      <c r="O81" s="1261"/>
      <c r="P81" s="1261"/>
    </row>
    <row r="82" spans="1:16" ht="30" x14ac:dyDescent="0.2">
      <c r="A82" s="1255" t="s">
        <v>117</v>
      </c>
      <c r="B82" s="1256" t="s">
        <v>87</v>
      </c>
      <c r="C82" s="1257" t="s">
        <v>87</v>
      </c>
      <c r="D82" s="1257"/>
      <c r="E82" s="1258"/>
      <c r="F82" s="1258"/>
      <c r="G82" s="1259" t="e">
        <f>#REF!</f>
        <v>#REF!</v>
      </c>
      <c r="H82" s="1259" t="e">
        <f>#REF!</f>
        <v>#REF!</v>
      </c>
      <c r="I82" s="1260"/>
      <c r="J82" s="1260"/>
      <c r="K82" s="1261" t="e">
        <f t="shared" si="9"/>
        <v>#REF!</v>
      </c>
      <c r="L82" s="1262" t="e">
        <f t="shared" si="10"/>
        <v>#REF!</v>
      </c>
      <c r="M82" s="1261"/>
      <c r="N82" s="1261"/>
      <c r="O82" s="1261"/>
      <c r="P82" s="1261"/>
    </row>
    <row r="83" spans="1:16" ht="51.75" customHeight="1" x14ac:dyDescent="0.2">
      <c r="A83" s="1283" t="s">
        <v>941</v>
      </c>
      <c r="B83" s="1284"/>
      <c r="C83" s="1284"/>
      <c r="D83" s="1285"/>
      <c r="E83" s="1286"/>
      <c r="F83" s="1286"/>
      <c r="G83" s="1286"/>
      <c r="H83" s="1286" t="e">
        <f>#REF!</f>
        <v>#REF!</v>
      </c>
      <c r="I83" s="389"/>
      <c r="J83" s="389"/>
      <c r="K83" s="390"/>
      <c r="L83" s="509"/>
      <c r="M83" s="389"/>
      <c r="N83" s="389"/>
      <c r="O83" s="390"/>
      <c r="P83" s="509"/>
    </row>
    <row r="84" spans="1:16" ht="26.25" x14ac:dyDescent="0.4">
      <c r="A84" s="157"/>
      <c r="B84" s="157"/>
      <c r="C84" s="157"/>
      <c r="D84" s="157"/>
      <c r="E84" s="157"/>
      <c r="F84" s="157"/>
      <c r="G84" s="137"/>
      <c r="H84" s="137"/>
      <c r="I84" s="137"/>
      <c r="J84" s="137"/>
      <c r="K84" s="137"/>
      <c r="L84" s="137"/>
      <c r="M84" s="137"/>
      <c r="N84" s="137"/>
      <c r="O84" s="137"/>
      <c r="P84" s="137"/>
    </row>
  </sheetData>
  <autoFilter ref="A9:L83" xr:uid="{00000000-0001-0000-0400-000000000000}"/>
  <mergeCells count="16">
    <mergeCell ref="A1:P1"/>
    <mergeCell ref="M7:O7"/>
    <mergeCell ref="P7:P8"/>
    <mergeCell ref="I6:P6"/>
    <mergeCell ref="A6:A8"/>
    <mergeCell ref="B6:B8"/>
    <mergeCell ref="C6:D6"/>
    <mergeCell ref="E6:F6"/>
    <mergeCell ref="G6:H6"/>
    <mergeCell ref="C7:C8"/>
    <mergeCell ref="D7:D8"/>
    <mergeCell ref="E7:E8"/>
    <mergeCell ref="F7:F8"/>
    <mergeCell ref="G7:G8"/>
    <mergeCell ref="H7:H8"/>
    <mergeCell ref="I7:J7"/>
  </mergeCells>
  <conditionalFormatting sqref="I10:P10 I12:P68 I70:P83">
    <cfRule type="cellIs" dxfId="16" priority="3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26" fitToHeight="0" orientation="portrait" r:id="rId1"/>
  <headerFooter>
    <oddHeader>&amp;L&amp;D&amp;T&amp;F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608E-C53D-4133-9368-7895B22375D1}">
  <sheetPr>
    <pageSetUpPr fitToPage="1"/>
  </sheetPr>
  <dimension ref="A1:BY74"/>
  <sheetViews>
    <sheetView view="pageBreakPreview" zoomScale="40" zoomScaleNormal="40" zoomScaleSheetLayoutView="40" workbookViewId="0">
      <pane xSplit="2" ySplit="9" topLeftCell="C62" activePane="bottomRight" state="frozen"/>
      <selection pane="topRight" activeCell="C1" sqref="C1"/>
      <selection pane="bottomLeft" activeCell="A10" sqref="A10"/>
      <selection pane="bottomRight" activeCell="D72" sqref="D72"/>
    </sheetView>
  </sheetViews>
  <sheetFormatPr defaultColWidth="9.140625" defaultRowHeight="18.75" x14ac:dyDescent="0.3"/>
  <cols>
    <col min="1" max="1" width="65.28515625" style="79" customWidth="1"/>
    <col min="2" max="2" width="41.5703125" style="74" customWidth="1"/>
    <col min="3" max="3" width="33.140625" style="74" customWidth="1"/>
    <col min="4" max="4" width="29.140625" style="223" customWidth="1"/>
    <col min="5" max="5" width="29.85546875" style="223" customWidth="1"/>
    <col min="6" max="6" width="30.85546875" style="74" customWidth="1"/>
    <col min="7" max="7" width="20.42578125" style="74" customWidth="1"/>
    <col min="8" max="8" width="30.85546875" style="74" customWidth="1"/>
    <col min="9" max="9" width="29.42578125" style="74" customWidth="1"/>
    <col min="10" max="10" width="23" style="213" customWidth="1"/>
    <col min="11" max="11" width="27.7109375" style="213" customWidth="1"/>
    <col min="12" max="12" width="19.140625" style="213" customWidth="1"/>
    <col min="13" max="13" width="33.85546875" style="246" customWidth="1"/>
    <col min="14" max="14" width="26.140625" style="74" customWidth="1"/>
    <col min="15" max="15" width="26.5703125" style="74" customWidth="1"/>
    <col min="16" max="16" width="24.5703125" style="74" customWidth="1"/>
    <col min="17" max="17" width="24.7109375" style="74" customWidth="1"/>
    <col min="18" max="18" width="13.7109375" style="781" customWidth="1"/>
    <col min="19" max="19" width="35.5703125" style="74" customWidth="1"/>
    <col min="20" max="21" width="35.5703125" style="76" customWidth="1"/>
    <col min="22" max="24" width="34.42578125" style="483" customWidth="1"/>
    <col min="25" max="25" width="37.42578125" style="74" hidden="1" customWidth="1"/>
    <col min="26" max="26" width="35.5703125" style="74" hidden="1" customWidth="1"/>
    <col min="27" max="27" width="35.5703125" style="74" customWidth="1"/>
    <col min="28" max="29" width="35.5703125" style="76" customWidth="1"/>
    <col min="30" max="38" width="35.5703125" style="74" customWidth="1"/>
    <col min="39" max="39" width="33.42578125" style="154" hidden="1" customWidth="1"/>
    <col min="40" max="40" width="28" style="74" bestFit="1" customWidth="1"/>
    <col min="41" max="16384" width="9.140625" style="74"/>
  </cols>
  <sheetData>
    <row r="1" spans="1:77" ht="47.25" customHeight="1" x14ac:dyDescent="0.4">
      <c r="A1" s="157" t="s">
        <v>383</v>
      </c>
      <c r="C1" s="133"/>
      <c r="D1" s="1501">
        <v>2025</v>
      </c>
      <c r="E1" s="1502"/>
      <c r="F1" s="1503"/>
      <c r="G1" s="1042"/>
      <c r="H1" s="144"/>
      <c r="I1" s="249"/>
      <c r="J1" s="1043"/>
      <c r="K1" s="1043"/>
      <c r="L1" s="1043"/>
      <c r="M1" s="74"/>
      <c r="N1" s="156"/>
      <c r="O1" s="237" t="s">
        <v>378</v>
      </c>
      <c r="P1" s="237"/>
      <c r="Q1" s="237"/>
      <c r="R1" s="1504" t="s">
        <v>707</v>
      </c>
      <c r="S1" s="1504"/>
      <c r="T1" s="1504"/>
      <c r="U1" s="1504"/>
      <c r="V1" s="1504"/>
      <c r="W1" s="1504"/>
      <c r="X1" s="1504"/>
      <c r="Y1" s="1504"/>
      <c r="Z1" s="1504"/>
      <c r="AA1" s="1504"/>
      <c r="AB1" s="1504"/>
      <c r="AC1" s="1504"/>
      <c r="AD1" s="1504"/>
      <c r="AE1" s="1504"/>
      <c r="AF1" s="1504"/>
      <c r="AG1" s="1504"/>
      <c r="AH1" s="1504"/>
      <c r="AI1" s="1044"/>
      <c r="AJ1" s="1044"/>
      <c r="AK1" s="1044"/>
      <c r="AL1" s="1044"/>
    </row>
    <row r="2" spans="1:77" ht="40.5" x14ac:dyDescent="0.3">
      <c r="A2" s="74"/>
      <c r="C2" s="133" t="s">
        <v>122</v>
      </c>
      <c r="D2" s="141">
        <v>143796600</v>
      </c>
      <c r="E2" s="141"/>
      <c r="F2" s="142">
        <v>143796600</v>
      </c>
      <c r="G2" s="145"/>
      <c r="H2" s="145"/>
      <c r="I2" s="249"/>
      <c r="J2" s="1043"/>
      <c r="K2" s="1043"/>
      <c r="L2" s="1043"/>
      <c r="M2" s="74"/>
      <c r="N2" s="155"/>
      <c r="O2" s="705">
        <v>2025</v>
      </c>
      <c r="P2" s="705">
        <v>2026</v>
      </c>
      <c r="Q2" s="705">
        <v>2027</v>
      </c>
      <c r="R2" s="1045" t="s">
        <v>274</v>
      </c>
      <c r="S2" s="549" t="s">
        <v>287</v>
      </c>
      <c r="T2" s="1046"/>
      <c r="U2" s="1046"/>
      <c r="V2" s="1209"/>
      <c r="W2" s="1209"/>
      <c r="X2" s="1209"/>
      <c r="Y2" s="549" t="s">
        <v>288</v>
      </c>
      <c r="Z2" s="549" t="s">
        <v>277</v>
      </c>
      <c r="AA2" s="550" t="s">
        <v>290</v>
      </c>
      <c r="AB2" s="1047"/>
      <c r="AC2" s="1047"/>
      <c r="AD2" s="550"/>
      <c r="AE2" s="550"/>
      <c r="AF2" s="550"/>
      <c r="AG2" s="550" t="s">
        <v>693</v>
      </c>
      <c r="AH2" s="549" t="s">
        <v>279</v>
      </c>
    </row>
    <row r="3" spans="1:77" ht="57.75" customHeight="1" x14ac:dyDescent="0.4">
      <c r="A3" s="241"/>
      <c r="B3" s="239"/>
      <c r="C3" s="133" t="s">
        <v>537</v>
      </c>
      <c r="D3" s="141"/>
      <c r="E3" s="141"/>
      <c r="F3" s="1048">
        <v>1.0071716359782186</v>
      </c>
      <c r="G3" s="1049"/>
      <c r="H3" s="1049"/>
      <c r="I3" s="249"/>
      <c r="J3" s="1043"/>
      <c r="K3" s="1043"/>
      <c r="L3" s="1043"/>
      <c r="M3" s="74"/>
      <c r="N3" s="155"/>
      <c r="O3" s="705"/>
      <c r="P3" s="705"/>
      <c r="Q3" s="705"/>
      <c r="R3" s="1045"/>
      <c r="S3" s="549"/>
      <c r="T3" s="1046"/>
      <c r="U3" s="1046"/>
      <c r="V3" s="1209"/>
      <c r="W3" s="1209"/>
      <c r="X3" s="1209"/>
      <c r="Y3" s="549"/>
      <c r="Z3" s="549"/>
      <c r="AA3" s="550"/>
      <c r="AB3" s="1047"/>
      <c r="AC3" s="1047"/>
      <c r="AD3" s="550"/>
      <c r="AE3" s="550"/>
      <c r="AF3" s="550"/>
      <c r="AG3" s="550"/>
      <c r="AH3" s="549"/>
    </row>
    <row r="4" spans="1:77" ht="51" customHeight="1" x14ac:dyDescent="0.3">
      <c r="A4" s="74"/>
      <c r="C4" s="133" t="s">
        <v>374</v>
      </c>
      <c r="D4" s="143"/>
      <c r="E4" s="143"/>
      <c r="F4" s="143">
        <v>1.1921710918144099</v>
      </c>
      <c r="G4" s="146"/>
      <c r="H4" s="146"/>
      <c r="I4" s="249"/>
      <c r="J4" s="1043"/>
      <c r="K4" s="1043"/>
      <c r="L4" s="1043"/>
      <c r="M4" s="74"/>
      <c r="N4" s="155" t="s">
        <v>285</v>
      </c>
      <c r="O4" s="706">
        <v>1.132158</v>
      </c>
      <c r="P4" s="706">
        <v>1.1022110000000001</v>
      </c>
      <c r="Q4" s="706">
        <v>1.0828500000000001</v>
      </c>
      <c r="R4" s="1050">
        <v>0.6668739369619352</v>
      </c>
      <c r="S4" s="551">
        <v>0.80749719946586151</v>
      </c>
      <c r="T4" s="1051"/>
      <c r="U4" s="1051"/>
      <c r="V4" s="1210"/>
      <c r="W4" s="1210"/>
      <c r="X4" s="1210"/>
      <c r="Y4" s="551">
        <v>0.78277393052175381</v>
      </c>
      <c r="Z4" s="551">
        <v>0.62852055078547542</v>
      </c>
      <c r="AA4" s="551">
        <v>0.66109476947432266</v>
      </c>
      <c r="AB4" s="1051"/>
      <c r="AC4" s="1051"/>
      <c r="AD4" s="551"/>
      <c r="AE4" s="551"/>
      <c r="AF4" s="551"/>
      <c r="AG4" s="551">
        <v>0.1087</v>
      </c>
      <c r="AH4" s="551">
        <v>0.34737731560311258</v>
      </c>
    </row>
    <row r="5" spans="1:77" ht="20.25" x14ac:dyDescent="0.3">
      <c r="F5" s="250"/>
      <c r="G5" s="250"/>
      <c r="H5" s="250"/>
      <c r="J5" s="74"/>
      <c r="K5" s="223"/>
      <c r="L5" s="223"/>
      <c r="M5" s="74"/>
      <c r="N5" s="232" t="s">
        <v>286</v>
      </c>
      <c r="O5" s="855">
        <v>1.0445660000000001</v>
      </c>
      <c r="P5" s="855">
        <v>1.04026</v>
      </c>
      <c r="Q5" s="855">
        <v>1.0403819999999999</v>
      </c>
      <c r="R5" s="1052">
        <v>0.3331260630380648</v>
      </c>
      <c r="S5" s="552">
        <v>0.19250280053413849</v>
      </c>
      <c r="T5" s="1053"/>
      <c r="U5" s="1053"/>
      <c r="V5" s="1211"/>
      <c r="W5" s="1211"/>
      <c r="X5" s="1211"/>
      <c r="Y5" s="552">
        <v>0.21722606947824619</v>
      </c>
      <c r="Z5" s="552">
        <v>0.37147944921452458</v>
      </c>
      <c r="AA5" s="552">
        <v>0.33890523052567734</v>
      </c>
      <c r="AB5" s="1053"/>
      <c r="AC5" s="1053"/>
      <c r="AD5" s="552"/>
      <c r="AE5" s="552"/>
      <c r="AF5" s="552"/>
      <c r="AG5" s="552">
        <v>0.89129999999999998</v>
      </c>
      <c r="AH5" s="552">
        <v>0.65262268439688742</v>
      </c>
    </row>
    <row r="6" spans="1:77" s="135" customFormat="1" ht="63.75" customHeight="1" x14ac:dyDescent="0.35">
      <c r="A6" s="1505" t="s">
        <v>83</v>
      </c>
      <c r="B6" s="1505" t="s">
        <v>84</v>
      </c>
      <c r="C6" s="1506" t="s">
        <v>372</v>
      </c>
      <c r="D6" s="1506"/>
      <c r="E6" s="1507" t="s">
        <v>379</v>
      </c>
      <c r="F6" s="1508"/>
      <c r="G6" s="1508"/>
      <c r="H6" s="1508"/>
      <c r="I6" s="1508"/>
      <c r="J6" s="1508"/>
      <c r="K6" s="1508"/>
      <c r="L6" s="1508"/>
      <c r="M6" s="1509"/>
      <c r="N6" s="1510" t="s">
        <v>119</v>
      </c>
      <c r="O6" s="1510"/>
      <c r="P6" s="1510"/>
      <c r="Q6" s="1510"/>
      <c r="R6" s="1510"/>
      <c r="S6" s="1511" t="s">
        <v>120</v>
      </c>
      <c r="T6" s="1512"/>
      <c r="U6" s="1512"/>
      <c r="V6" s="1512"/>
      <c r="W6" s="1512"/>
      <c r="X6" s="1512"/>
      <c r="Y6" s="1512"/>
      <c r="Z6" s="1512"/>
      <c r="AA6" s="1512"/>
      <c r="AB6" s="1512"/>
      <c r="AC6" s="1512"/>
      <c r="AD6" s="1513"/>
      <c r="AE6" s="1054"/>
      <c r="AF6" s="1054"/>
      <c r="AG6" s="1491" t="s">
        <v>868</v>
      </c>
      <c r="AH6" s="1514"/>
      <c r="AI6" s="1514"/>
      <c r="AJ6" s="1514"/>
      <c r="AK6" s="1514"/>
      <c r="AL6" s="1515"/>
      <c r="AM6" s="1055"/>
    </row>
    <row r="7" spans="1:77" s="135" customFormat="1" ht="63.75" customHeight="1" x14ac:dyDescent="0.35">
      <c r="A7" s="1505"/>
      <c r="B7" s="1505"/>
      <c r="C7" s="1417" t="s">
        <v>869</v>
      </c>
      <c r="D7" s="1418"/>
      <c r="E7" s="1413" t="s">
        <v>870</v>
      </c>
      <c r="F7" s="1493" t="s">
        <v>871</v>
      </c>
      <c r="G7" s="1493" t="s">
        <v>872</v>
      </c>
      <c r="H7" s="1516" t="s">
        <v>873</v>
      </c>
      <c r="I7" s="1414" t="s">
        <v>874</v>
      </c>
      <c r="J7" s="1414" t="s">
        <v>875</v>
      </c>
      <c r="K7" s="1414" t="s">
        <v>876</v>
      </c>
      <c r="L7" s="1493" t="s">
        <v>872</v>
      </c>
      <c r="M7" s="1414" t="s">
        <v>877</v>
      </c>
      <c r="N7" s="833" t="s">
        <v>869</v>
      </c>
      <c r="O7" s="1494" t="s">
        <v>878</v>
      </c>
      <c r="P7" s="1494" t="s">
        <v>879</v>
      </c>
      <c r="Q7" s="1494" t="s">
        <v>880</v>
      </c>
      <c r="R7" s="1495"/>
      <c r="S7" s="1496" t="s">
        <v>881</v>
      </c>
      <c r="T7" s="1498" t="s">
        <v>389</v>
      </c>
      <c r="U7" s="1499"/>
      <c r="V7" s="1496" t="s">
        <v>882</v>
      </c>
      <c r="W7" s="1500" t="s">
        <v>389</v>
      </c>
      <c r="X7" s="1500"/>
      <c r="Y7" s="1485" t="s">
        <v>883</v>
      </c>
      <c r="Z7" s="1485" t="s">
        <v>884</v>
      </c>
      <c r="AA7" s="1485" t="s">
        <v>885</v>
      </c>
      <c r="AB7" s="1487" t="s">
        <v>389</v>
      </c>
      <c r="AC7" s="1487"/>
      <c r="AD7" s="1488" t="s">
        <v>886</v>
      </c>
      <c r="AE7" s="1490" t="s">
        <v>389</v>
      </c>
      <c r="AF7" s="1490"/>
      <c r="AG7" s="1491" t="s">
        <v>887</v>
      </c>
      <c r="AH7" s="1481" t="s">
        <v>888</v>
      </c>
      <c r="AI7" s="1482"/>
      <c r="AJ7" s="1483"/>
      <c r="AK7" s="1484" t="s">
        <v>889</v>
      </c>
      <c r="AL7" s="1484" t="s">
        <v>890</v>
      </c>
      <c r="AM7" s="1055"/>
    </row>
    <row r="8" spans="1:77" s="135" customFormat="1" ht="81" customHeight="1" x14ac:dyDescent="0.35">
      <c r="A8" s="1505"/>
      <c r="B8" s="1505"/>
      <c r="C8" s="1057" t="s">
        <v>372</v>
      </c>
      <c r="D8" s="1058" t="s">
        <v>373</v>
      </c>
      <c r="E8" s="1413"/>
      <c r="F8" s="1415"/>
      <c r="G8" s="1415"/>
      <c r="H8" s="1517"/>
      <c r="I8" s="1414"/>
      <c r="J8" s="1414"/>
      <c r="K8" s="1414"/>
      <c r="L8" s="1415"/>
      <c r="M8" s="1414"/>
      <c r="N8" s="520" t="s">
        <v>381</v>
      </c>
      <c r="O8" s="1494"/>
      <c r="P8" s="1494"/>
      <c r="Q8" s="1494"/>
      <c r="R8" s="1495"/>
      <c r="S8" s="1497"/>
      <c r="T8" s="1219" t="s">
        <v>280</v>
      </c>
      <c r="U8" s="1219" t="s">
        <v>891</v>
      </c>
      <c r="V8" s="1497"/>
      <c r="W8" s="1220" t="s">
        <v>280</v>
      </c>
      <c r="X8" s="1220" t="s">
        <v>891</v>
      </c>
      <c r="Y8" s="1486"/>
      <c r="Z8" s="1486"/>
      <c r="AA8" s="1486"/>
      <c r="AB8" s="1225" t="s">
        <v>280</v>
      </c>
      <c r="AC8" s="1225" t="s">
        <v>891</v>
      </c>
      <c r="AD8" s="1489"/>
      <c r="AE8" s="1224" t="s">
        <v>280</v>
      </c>
      <c r="AF8" s="1224" t="s">
        <v>891</v>
      </c>
      <c r="AG8" s="1492"/>
      <c r="AH8" s="1056" t="s">
        <v>892</v>
      </c>
      <c r="AI8" s="1056" t="s">
        <v>280</v>
      </c>
      <c r="AJ8" s="1056" t="s">
        <v>891</v>
      </c>
      <c r="AK8" s="1484"/>
      <c r="AL8" s="1484"/>
      <c r="AM8" s="1059" t="s">
        <v>893</v>
      </c>
    </row>
    <row r="9" spans="1:77" s="231" customFormat="1" ht="20.25" x14ac:dyDescent="0.3">
      <c r="A9" s="1060">
        <v>1</v>
      </c>
      <c r="B9" s="1060">
        <v>2</v>
      </c>
      <c r="C9" s="1060">
        <v>3</v>
      </c>
      <c r="D9" s="1060">
        <v>4</v>
      </c>
      <c r="E9" s="1060">
        <v>5</v>
      </c>
      <c r="F9" s="1060">
        <v>6</v>
      </c>
      <c r="G9" s="1060">
        <v>7</v>
      </c>
      <c r="H9" s="1060">
        <v>8</v>
      </c>
      <c r="I9" s="1060">
        <v>9</v>
      </c>
      <c r="J9" s="1060">
        <v>10</v>
      </c>
      <c r="K9" s="1060">
        <v>11</v>
      </c>
      <c r="L9" s="1060">
        <v>12</v>
      </c>
      <c r="M9" s="1060">
        <v>13</v>
      </c>
      <c r="N9" s="1060">
        <v>14</v>
      </c>
      <c r="O9" s="1060">
        <v>15</v>
      </c>
      <c r="P9" s="1060">
        <v>16</v>
      </c>
      <c r="Q9" s="1060">
        <v>17</v>
      </c>
      <c r="R9" s="1060">
        <v>18</v>
      </c>
      <c r="S9" s="1060">
        <v>19</v>
      </c>
      <c r="T9" s="1060">
        <v>20</v>
      </c>
      <c r="U9" s="1060">
        <v>21</v>
      </c>
      <c r="V9" s="1221">
        <v>22</v>
      </c>
      <c r="W9" s="1221">
        <v>23</v>
      </c>
      <c r="X9" s="1221">
        <v>24</v>
      </c>
      <c r="Y9" s="1060">
        <v>25</v>
      </c>
      <c r="Z9" s="1060">
        <v>26</v>
      </c>
      <c r="AA9" s="1060">
        <v>27</v>
      </c>
      <c r="AB9" s="1060">
        <v>28</v>
      </c>
      <c r="AC9" s="1060">
        <v>29</v>
      </c>
      <c r="AD9" s="1060">
        <v>30</v>
      </c>
      <c r="AE9" s="1060">
        <v>31</v>
      </c>
      <c r="AF9" s="1060">
        <v>32</v>
      </c>
      <c r="AG9" s="1060">
        <v>33</v>
      </c>
      <c r="AH9" s="1060">
        <v>34</v>
      </c>
      <c r="AI9" s="1060">
        <v>35</v>
      </c>
      <c r="AJ9" s="1060">
        <v>36</v>
      </c>
      <c r="AK9" s="1060">
        <v>37</v>
      </c>
      <c r="AL9" s="1060">
        <v>38</v>
      </c>
      <c r="AM9" s="1061"/>
    </row>
    <row r="10" spans="1:77" ht="60.75" x14ac:dyDescent="0.4">
      <c r="A10" s="1062" t="s">
        <v>85</v>
      </c>
      <c r="B10" s="1062" t="s">
        <v>5</v>
      </c>
      <c r="C10" s="1063">
        <f>'[5]СВОД и Численность 061023'!O10</f>
        <v>41805017.859999999</v>
      </c>
      <c r="D10" s="1064">
        <f>'[5]СВОД и Численность 061023'!P10</f>
        <v>0.28999999999999998</v>
      </c>
      <c r="E10" s="1065">
        <f>'[5]СВОД и Численность 061023'!AD10</f>
        <v>3288.9</v>
      </c>
      <c r="F10" s="1065">
        <f>'[5]СВОД и Численность 061023'!AJ10</f>
        <v>3849.119512680868</v>
      </c>
      <c r="G10" s="1066">
        <f>F10/E10</f>
        <v>1.1703364385298634</v>
      </c>
      <c r="H10" s="1067">
        <v>4583.9364100463617</v>
      </c>
      <c r="I10" s="1065">
        <f>ROUND(F10*$O$4*$S$4+F10*$S$5,1)</f>
        <v>4259.8999999999996</v>
      </c>
      <c r="J10" s="1068">
        <f>ROUND(F10*$S$4+F10*$O$5*$S$5,1)</f>
        <v>3882.1</v>
      </c>
      <c r="K10" s="1068">
        <f>ROUND(F10*$O$4*$S$4+F10*$O$5*$S$5,1)</f>
        <v>4292.8999999999996</v>
      </c>
      <c r="L10" s="1066">
        <f>K10/E10</f>
        <v>1.3052692389552736</v>
      </c>
      <c r="M10" s="1069" t="s">
        <v>894</v>
      </c>
      <c r="N10" s="1068">
        <f>+F10*D10</f>
        <v>1116.2446586774515</v>
      </c>
      <c r="O10" s="1068">
        <f>I10*D10</f>
        <v>1235.3709999999999</v>
      </c>
      <c r="P10" s="1068">
        <f>J10*D10</f>
        <v>1125.809</v>
      </c>
      <c r="Q10" s="1068">
        <f>K10*D10</f>
        <v>1244.9409999999998</v>
      </c>
      <c r="R10" s="1069"/>
      <c r="S10" s="1070">
        <f>'[5]СВОД и Численность 061023'!BF10</f>
        <v>152891685.80000001</v>
      </c>
      <c r="T10" s="1071">
        <f>S10*'[5]СВОД и Численность 061023'!$AG$4</f>
        <v>121527638.30388689</v>
      </c>
      <c r="U10" s="1071">
        <f>S10*'[5]СВОД и Численность 061023'!$AG$5</f>
        <v>31364047.496113129</v>
      </c>
      <c r="V10" s="1222">
        <f>'[5]СВОД и Численность 061023'!BH10</f>
        <v>184540890.19999999</v>
      </c>
      <c r="W10" s="1222">
        <f>+'[5]СВОД и Численность 061023'!$AG$4*V10</f>
        <v>146684356.57017851</v>
      </c>
      <c r="X10" s="1222">
        <f>+V10-W10</f>
        <v>37856533.629821479</v>
      </c>
      <c r="Y10" s="1070">
        <f>O10*$D$2*$F$3*$F$4/1000</f>
        <v>213298643.25447556</v>
      </c>
      <c r="Z10" s="1070">
        <f>P10*$D$2*$F$3*$F$4/1000</f>
        <v>194381713.88487983</v>
      </c>
      <c r="AA10" s="1070">
        <f>Q10*$D$2/1000</f>
        <v>179018283.00059998</v>
      </c>
      <c r="AB10" s="1071">
        <f>AA10*$S$4</f>
        <v>144556762.17617154</v>
      </c>
      <c r="AC10" s="1071">
        <f>AA10*$S$5</f>
        <v>34461520.824428454</v>
      </c>
      <c r="AD10" s="1070">
        <f>Q10*$D$2*$F$3*$F$4/1000</f>
        <v>214950995.47574779</v>
      </c>
      <c r="AE10" s="1071">
        <f>AD10*$S$4</f>
        <v>173572326.8690654</v>
      </c>
      <c r="AF10" s="1071">
        <f>AD10*$S$5</f>
        <v>41378668.606682383</v>
      </c>
      <c r="AG10" s="1072">
        <f>AD10-V10</f>
        <v>30410105.275747806</v>
      </c>
      <c r="AH10" s="1072">
        <f>AA10-S10</f>
        <v>26126597.200599968</v>
      </c>
      <c r="AI10" s="1072">
        <f>+AB10-T10</f>
        <v>23029123.872284651</v>
      </c>
      <c r="AJ10" s="1072">
        <f>+AC10-U10</f>
        <v>3097473.3283153251</v>
      </c>
      <c r="AK10" s="1072">
        <f>AA10*$F$4-'[5]СВОД и Численность 061023'!BG10-AH10</f>
        <v>4075686.4989663363</v>
      </c>
      <c r="AL10" s="1072">
        <f>AD10-(AA10*$F$4)-('[5]СВОД и Численность 061023'!BH10-'[5]СВОД и Численность 061023'!BG10)</f>
        <v>207821.57618150115</v>
      </c>
      <c r="AM10" s="1073">
        <f>AG10-AH10-AK10-AL10</f>
        <v>0</v>
      </c>
      <c r="AN10" s="137"/>
    </row>
    <row r="11" spans="1:77" s="1088" customFormat="1" ht="60.75" x14ac:dyDescent="0.4">
      <c r="A11" s="1074" t="s">
        <v>86</v>
      </c>
      <c r="B11" s="1075" t="s">
        <v>125</v>
      </c>
      <c r="C11" s="1076" t="str">
        <f>'[5]СВОД и Численность 061023'!O11</f>
        <v>X</v>
      </c>
      <c r="D11" s="1077" t="str">
        <f>'[5]СВОД и Численность 061023'!P11</f>
        <v>X</v>
      </c>
      <c r="E11" s="1078" t="str">
        <f>'[5]СВОД и Численность 061023'!AD11</f>
        <v>X</v>
      </c>
      <c r="F11" s="1079" t="s">
        <v>125</v>
      </c>
      <c r="G11" s="1079" t="s">
        <v>125</v>
      </c>
      <c r="H11" s="1067" t="s">
        <v>125</v>
      </c>
      <c r="I11" s="1080" t="s">
        <v>125</v>
      </c>
      <c r="J11" s="1081" t="s">
        <v>125</v>
      </c>
      <c r="K11" s="1081" t="s">
        <v>125</v>
      </c>
      <c r="L11" s="1081"/>
      <c r="M11" s="1082" t="s">
        <v>125</v>
      </c>
      <c r="N11" s="1083" t="s">
        <v>125</v>
      </c>
      <c r="O11" s="1083" t="s">
        <v>125</v>
      </c>
      <c r="P11" s="1083" t="s">
        <v>125</v>
      </c>
      <c r="Q11" s="1083" t="s">
        <v>125</v>
      </c>
      <c r="R11" s="1084"/>
      <c r="S11" s="1070" t="s">
        <v>125</v>
      </c>
      <c r="T11" s="1071" t="s">
        <v>125</v>
      </c>
      <c r="U11" s="1071" t="s">
        <v>125</v>
      </c>
      <c r="V11" s="1222" t="s">
        <v>125</v>
      </c>
      <c r="W11" s="1222" t="s">
        <v>125</v>
      </c>
      <c r="X11" s="1222" t="s">
        <v>125</v>
      </c>
      <c r="Y11" s="1085" t="s">
        <v>125</v>
      </c>
      <c r="Z11" s="1085" t="s">
        <v>125</v>
      </c>
      <c r="AA11" s="1085" t="s">
        <v>125</v>
      </c>
      <c r="AB11" s="1086" t="s">
        <v>125</v>
      </c>
      <c r="AC11" s="1086" t="s">
        <v>125</v>
      </c>
      <c r="AD11" s="1085" t="s">
        <v>125</v>
      </c>
      <c r="AE11" s="1085" t="s">
        <v>125</v>
      </c>
      <c r="AF11" s="1085" t="s">
        <v>125</v>
      </c>
      <c r="AG11" s="1087" t="s">
        <v>125</v>
      </c>
      <c r="AH11" s="1087" t="s">
        <v>125</v>
      </c>
      <c r="AI11" s="1087" t="s">
        <v>125</v>
      </c>
      <c r="AJ11" s="1087" t="s">
        <v>125</v>
      </c>
      <c r="AK11" s="1087" t="s">
        <v>125</v>
      </c>
      <c r="AL11" s="1087" t="s">
        <v>125</v>
      </c>
      <c r="AM11" s="1073"/>
      <c r="AN11" s="137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</row>
    <row r="12" spans="1:77" s="1088" customFormat="1" ht="51" x14ac:dyDescent="0.4">
      <c r="A12" s="1074" t="s">
        <v>88</v>
      </c>
      <c r="B12" s="1074" t="s">
        <v>87</v>
      </c>
      <c r="C12" s="1076">
        <f>'[5]СВОД и Численность 061023'!O12</f>
        <v>781711019.87750196</v>
      </c>
      <c r="D12" s="1077">
        <f>'[5]СВОД и Численность 061023'!P12</f>
        <v>5.4227030000000003</v>
      </c>
      <c r="E12" s="1078">
        <f>'[5]СВОД и Численность 061023'!AD12</f>
        <v>1122.0338599730098</v>
      </c>
      <c r="F12" s="1079">
        <f>'[5]СВОД и Численность 061023'!AJ12</f>
        <v>1359.5</v>
      </c>
      <c r="G12" s="1089">
        <f t="shared" ref="G12:G63" si="0">F12/E12</f>
        <v>1.2116390142029245</v>
      </c>
      <c r="H12" s="1067">
        <v>1248.0307906384753</v>
      </c>
      <c r="I12" s="1079">
        <f>+(I13*D13+I14*D14+I16*D16+I17*D17+I18*D18+I27*D27)/D12</f>
        <v>1504.5721927606951</v>
      </c>
      <c r="J12" s="1081">
        <f>+(J13*D13+J14*D14+J16*D16+J17*D17+J18*D18+J27*D27)/D12</f>
        <v>1371.1667012742539</v>
      </c>
      <c r="K12" s="1081">
        <f>+(K13*D13+K14*D14+K16*D16+K17*D17+K18*D18+K27*D27)/D12</f>
        <v>1513.290435139081</v>
      </c>
      <c r="L12" s="1090">
        <f t="shared" ref="L12:L63" si="1">K12/E12</f>
        <v>1.3487030018643846</v>
      </c>
      <c r="M12" s="1091" t="s">
        <v>894</v>
      </c>
      <c r="N12" s="1083">
        <f>+N13+N14+N16+N17+N18+N27</f>
        <v>7372.1618052000003</v>
      </c>
      <c r="O12" s="1083">
        <f t="shared" ref="O12:Q12" si="2">+O13+O14+O16+O17+O18+O27</f>
        <v>8158.8481434000005</v>
      </c>
      <c r="P12" s="1083">
        <f t="shared" si="2"/>
        <v>7435.429784500001</v>
      </c>
      <c r="Q12" s="1083">
        <f t="shared" si="2"/>
        <v>8206.1245825000005</v>
      </c>
      <c r="R12" s="1092"/>
      <c r="S12" s="1070">
        <f>'[5]СВОД и Численность 061023'!BF12</f>
        <v>1003805879.1</v>
      </c>
      <c r="T12" s="1071">
        <f>S12*'[5]СВОД и Численность 061023'!$AH$4</f>
        <v>773374461.31553686</v>
      </c>
      <c r="U12" s="1071">
        <f>S12*'[5]СВОД и Численность 061023'!$AH$5</f>
        <v>230431417.78446314</v>
      </c>
      <c r="V12" s="1222">
        <f>'[5]СВОД и Численность 061023'!BH12</f>
        <v>1211597802.7</v>
      </c>
      <c r="W12" s="1222">
        <f>V12*'[5]СВОД и Численность 061023'!$AH$4</f>
        <v>933466138.72626472</v>
      </c>
      <c r="X12" s="1222">
        <f>V12*'[5]СВОД и Численность 061023'!$AH$5</f>
        <v>278131663.97373539</v>
      </c>
      <c r="Y12" s="1070">
        <f>+Y13+Y14+Y16+Y17+Y18+Y27</f>
        <v>1408703328.3981225</v>
      </c>
      <c r="Z12" s="1070">
        <f t="shared" ref="Z12" si="3">+Z13+Z14+Z16+Z17+Z18+Z27</f>
        <v>1283798215.3116496</v>
      </c>
      <c r="AA12" s="1070">
        <f t="shared" ref="AA12:AA64" si="4">Q12*$D$2/1000</f>
        <v>1180012814.1399198</v>
      </c>
      <c r="AB12" s="1071">
        <f>AA12*$Y$4</f>
        <v>923683268.59034073</v>
      </c>
      <c r="AC12" s="1071">
        <f>AA12*$Y$5</f>
        <v>256329545.54957902</v>
      </c>
      <c r="AD12" s="1070">
        <f t="shared" ref="AD12:AD64" si="5">Q12*$D$2*$F$3*$F$4/1000</f>
        <v>1416866058.717948</v>
      </c>
      <c r="AE12" s="1071">
        <f>AD12*$Y$4</f>
        <v>1109085813.8055141</v>
      </c>
      <c r="AF12" s="1071">
        <f>AD12*$Y$5</f>
        <v>307780244.9124338</v>
      </c>
      <c r="AG12" s="1072">
        <f t="shared" ref="AG12:AG18" si="6">AD12-V12</f>
        <v>205268256.01794791</v>
      </c>
      <c r="AH12" s="1072">
        <f t="shared" ref="AH12:AH66" si="7">AA12-S12</f>
        <v>176206935.03991973</v>
      </c>
      <c r="AI12" s="1072">
        <f t="shared" ref="AI12:AJ18" si="8">+AB12-T12</f>
        <v>150308807.27480388</v>
      </c>
      <c r="AJ12" s="1072">
        <f t="shared" si="8"/>
        <v>25898127.765115887</v>
      </c>
      <c r="AK12" s="1072">
        <f>AA12*$F$4-'[5]СВОД и Численность 061023'!BG12-AH12</f>
        <v>27656916.948262811</v>
      </c>
      <c r="AL12" s="1072">
        <f>AD12-(AA12*$F$4)-('[5]СВОД и Численность 061023'!BH12-'[5]СВОД и Численность 061023'!BG12)</f>
        <v>1404404.0297653675</v>
      </c>
      <c r="AM12" s="1073">
        <f t="shared" ref="AM12:AM66" si="9">AG12-AH12-AK12-AL12</f>
        <v>0</v>
      </c>
      <c r="AN12" s="137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</row>
    <row r="13" spans="1:77" s="1088" customFormat="1" ht="60.75" x14ac:dyDescent="0.4">
      <c r="A13" s="1074" t="s">
        <v>430</v>
      </c>
      <c r="B13" s="1074" t="s">
        <v>15</v>
      </c>
      <c r="C13" s="1076">
        <f>'[5]СВОД и Численность 061023'!O13</f>
        <v>44891669.730408005</v>
      </c>
      <c r="D13" s="1077">
        <f>'[5]СВОД и Численность 061023'!P13</f>
        <v>0.31141200000000002</v>
      </c>
      <c r="E13" s="1078">
        <f>'[5]СВОД и Численность 061023'!AD13</f>
        <v>2051.5</v>
      </c>
      <c r="F13" s="1079">
        <f>'[5]СВОД и Численность 061023'!AJ13</f>
        <v>2354.1999999999998</v>
      </c>
      <c r="G13" s="1090">
        <f t="shared" si="0"/>
        <v>1.1475505727516451</v>
      </c>
      <c r="H13" s="1067">
        <v>1902.8435918706848</v>
      </c>
      <c r="I13" s="1079">
        <f t="shared" ref="I13:I18" si="10">ROUND(F13*$O$4*$S$4+F13*$S$5,1)</f>
        <v>2605.4</v>
      </c>
      <c r="J13" s="1081">
        <f t="shared" ref="J13:J18" si="11">ROUND(F13*$S$4+F13*$O$5*$S$5,1)</f>
        <v>2374.4</v>
      </c>
      <c r="K13" s="1081">
        <f t="shared" ref="K13:K18" si="12">ROUND(F13*$O$4*$Y$4+F13*$O$5*$Y$5,1)</f>
        <v>2620.5</v>
      </c>
      <c r="L13" s="1090">
        <f t="shared" si="1"/>
        <v>1.2773580307092371</v>
      </c>
      <c r="M13" s="1091" t="s">
        <v>894</v>
      </c>
      <c r="N13" s="1083">
        <f t="shared" ref="N13:N18" si="13">+F13*D13</f>
        <v>733.12613039999997</v>
      </c>
      <c r="O13" s="1083">
        <f t="shared" ref="O13:O18" si="14">I13*D13</f>
        <v>811.35282480000012</v>
      </c>
      <c r="P13" s="1083">
        <f t="shared" ref="P13:P18" si="15">J13*D13</f>
        <v>739.41665280000007</v>
      </c>
      <c r="Q13" s="1083">
        <f t="shared" ref="Q13:Q18" si="16">K13*D13</f>
        <v>816.05514600000004</v>
      </c>
      <c r="R13" s="1092"/>
      <c r="S13" s="1070">
        <f>'[5]СВОД и Численность 061023'!BF13</f>
        <v>100566318.5</v>
      </c>
      <c r="T13" s="1071">
        <f>S13*'[5]СВОД и Численность 061023'!$AH$4</f>
        <v>77480540.825439975</v>
      </c>
      <c r="U13" s="1071">
        <f>S13*'[5]СВОД и Численность 061023'!$AH$5</f>
        <v>23085777.674560029</v>
      </c>
      <c r="V13" s="1222">
        <f>'[5]СВОД и Численность 061023'!BH13</f>
        <v>121383957.8</v>
      </c>
      <c r="W13" s="1222">
        <f>V13*'[5]СВОД и Численность 061023'!$AH$4</f>
        <v>93519329.713520169</v>
      </c>
      <c r="X13" s="1222">
        <f>V13*'[5]СВОД и Численность 061023'!$AH$5</f>
        <v>27864628.086479835</v>
      </c>
      <c r="Y13" s="1070">
        <f t="shared" ref="Y13:Z18" si="17">O13*$D$2*$F$3*$F$4/1000</f>
        <v>140087841.41001064</v>
      </c>
      <c r="Z13" s="1070">
        <f t="shared" si="17"/>
        <v>127667371.85995597</v>
      </c>
      <c r="AA13" s="1070">
        <f t="shared" si="4"/>
        <v>117345955.4073036</v>
      </c>
      <c r="AB13" s="1071">
        <f t="shared" ref="AB13:AB30" si="18">AA13*$Y$4</f>
        <v>91855354.745005488</v>
      </c>
      <c r="AC13" s="1071">
        <f t="shared" ref="AC13:AC30" si="19">AA13*$Y$5</f>
        <v>25490600.662298109</v>
      </c>
      <c r="AD13" s="1070">
        <f t="shared" si="5"/>
        <v>140899742.23341247</v>
      </c>
      <c r="AE13" s="1071">
        <f t="shared" ref="AE13:AE18" si="20">AD13*$Y$4</f>
        <v>110292645.03755024</v>
      </c>
      <c r="AF13" s="1071">
        <f t="shared" ref="AF13:AF18" si="21">AD13*$Y$5</f>
        <v>30607097.195862237</v>
      </c>
      <c r="AG13" s="1072">
        <f t="shared" si="6"/>
        <v>19515784.433412477</v>
      </c>
      <c r="AH13" s="1072">
        <f t="shared" si="7"/>
        <v>16779636.907303602</v>
      </c>
      <c r="AI13" s="1072">
        <f t="shared" si="8"/>
        <v>14374813.919565514</v>
      </c>
      <c r="AJ13" s="1072">
        <f t="shared" si="8"/>
        <v>2404822.9877380803</v>
      </c>
      <c r="AK13" s="1072">
        <f>AA13*$F$4-'[5]СВОД и Численность 061023'!BG13-AH13</f>
        <v>2602916.8706265986</v>
      </c>
      <c r="AL13" s="1072">
        <f>AD13-(AA13*$F$4)-('[5]СВОД и Численность 061023'!BH13-'[5]СВОД и Численность 061023'!BG13)</f>
        <v>133230.65548227727</v>
      </c>
      <c r="AM13" s="1073">
        <f t="shared" si="9"/>
        <v>0</v>
      </c>
      <c r="AN13" s="137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</row>
    <row r="14" spans="1:77" s="1088" customFormat="1" ht="51" x14ac:dyDescent="0.4">
      <c r="A14" s="1074" t="s">
        <v>89</v>
      </c>
      <c r="B14" s="1074" t="s">
        <v>15</v>
      </c>
      <c r="C14" s="1076">
        <f>'[5]СВОД и Численность 061023'!O14</f>
        <v>56017426.535294004</v>
      </c>
      <c r="D14" s="1077">
        <f>'[5]СВОД и Численность 061023'!P14</f>
        <v>0.38859100000000002</v>
      </c>
      <c r="E14" s="1078">
        <f>'[5]СВОД и Численность 061023'!AD14</f>
        <v>2507.1999999999998</v>
      </c>
      <c r="F14" s="1079">
        <f>'[5]СВОД и Численность 061023'!AJ14</f>
        <v>2877.2</v>
      </c>
      <c r="G14" s="1090">
        <f t="shared" si="0"/>
        <v>1.1475749840459477</v>
      </c>
      <c r="H14" s="1067">
        <v>2399.080518029878</v>
      </c>
      <c r="I14" s="1079">
        <f t="shared" si="10"/>
        <v>3184.2</v>
      </c>
      <c r="J14" s="1081">
        <f t="shared" si="11"/>
        <v>2901.9</v>
      </c>
      <c r="K14" s="1081">
        <f t="shared" si="12"/>
        <v>3202.7</v>
      </c>
      <c r="L14" s="1090">
        <f t="shared" si="1"/>
        <v>1.2774010848755584</v>
      </c>
      <c r="M14" s="1091" t="s">
        <v>894</v>
      </c>
      <c r="N14" s="1083">
        <f t="shared" si="13"/>
        <v>1118.0540252000001</v>
      </c>
      <c r="O14" s="1083">
        <f t="shared" si="14"/>
        <v>1237.3514622</v>
      </c>
      <c r="P14" s="1083">
        <f t="shared" si="15"/>
        <v>1127.6522229000002</v>
      </c>
      <c r="Q14" s="1083">
        <f t="shared" si="16"/>
        <v>1244.5403957000001</v>
      </c>
      <c r="R14" s="1092"/>
      <c r="S14" s="1070">
        <f>'[5]СВОД и Численность 061023'!BF14</f>
        <v>153218865.09999999</v>
      </c>
      <c r="T14" s="1071">
        <f>S14*'[5]СВОД и Численность 061023'!$AH$4</f>
        <v>118046287.36218607</v>
      </c>
      <c r="U14" s="1071">
        <f>S14*'[5]СВОД и Численность 061023'!$AH$5</f>
        <v>35172577.737813927</v>
      </c>
      <c r="V14" s="1222">
        <f>'[5]СВОД и Численность 061023'!BH14</f>
        <v>184935797</v>
      </c>
      <c r="W14" s="1222">
        <f>V14*'[5]СВОД и Численность 061023'!$AH$4</f>
        <v>142482351.77808341</v>
      </c>
      <c r="X14" s="1222">
        <f>V14*'[5]СВОД и Численность 061023'!$AH$5</f>
        <v>42453445.221916579</v>
      </c>
      <c r="Y14" s="1070">
        <f t="shared" si="17"/>
        <v>213640589.0345504</v>
      </c>
      <c r="Z14" s="1070">
        <f t="shared" si="17"/>
        <v>194699963.98447391</v>
      </c>
      <c r="AA14" s="1070">
        <f t="shared" si="4"/>
        <v>178960677.46431464</v>
      </c>
      <c r="AB14" s="1071">
        <f t="shared" si="18"/>
        <v>140085752.90757743</v>
      </c>
      <c r="AC14" s="1071">
        <f t="shared" si="19"/>
        <v>38874924.556737222</v>
      </c>
      <c r="AD14" s="1070">
        <f t="shared" si="5"/>
        <v>214881827.30386111</v>
      </c>
      <c r="AE14" s="1071">
        <f t="shared" si="20"/>
        <v>168203892.55634007</v>
      </c>
      <c r="AF14" s="1071">
        <f t="shared" si="21"/>
        <v>46677934.747521035</v>
      </c>
      <c r="AG14" s="1072">
        <f t="shared" si="6"/>
        <v>29946030.303861111</v>
      </c>
      <c r="AH14" s="1072">
        <f t="shared" si="7"/>
        <v>25741812.364314646</v>
      </c>
      <c r="AI14" s="1072">
        <f t="shared" si="8"/>
        <v>22039465.545391351</v>
      </c>
      <c r="AJ14" s="1072">
        <f t="shared" si="8"/>
        <v>3702346.8189232945</v>
      </c>
      <c r="AK14" s="1072">
        <f>AA14*$F$4-'[5]СВОД и Численность 061023'!BG14-AH14</f>
        <v>3999719.4801638126</v>
      </c>
      <c r="AL14" s="1072">
        <f>AD14-(AA14*$F$4)-('[5]СВОД и Численность 061023'!BH14-'[5]СВОД и Численность 061023'!BG14)</f>
        <v>204498.45938265324</v>
      </c>
      <c r="AM14" s="1073">
        <f t="shared" si="9"/>
        <v>0</v>
      </c>
      <c r="AN14" s="137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</row>
    <row r="15" spans="1:77" ht="40.5" x14ac:dyDescent="0.4">
      <c r="A15" s="1093" t="s">
        <v>443</v>
      </c>
      <c r="B15" s="1093" t="s">
        <v>15</v>
      </c>
      <c r="C15" s="1076">
        <f>'[5]СВОД и Численность 061023'!O15</f>
        <v>7317031.3673719997</v>
      </c>
      <c r="D15" s="1077">
        <f>'[5]СВОД и Численность 061023'!P15</f>
        <v>5.0757999999999998E-2</v>
      </c>
      <c r="E15" s="1078">
        <f>'[5]СВОД и Численность 061023'!AD15</f>
        <v>1084.0999999999999</v>
      </c>
      <c r="F15" s="1079">
        <f>'[5]СВОД и Численность 061023'!AJ15</f>
        <v>1244.0999999999999</v>
      </c>
      <c r="G15" s="1090">
        <f t="shared" si="0"/>
        <v>1.1475878608984411</v>
      </c>
      <c r="H15" s="1067">
        <v>1114.6938191726074</v>
      </c>
      <c r="I15" s="1094">
        <f t="shared" si="10"/>
        <v>1376.9</v>
      </c>
      <c r="J15" s="1095">
        <f t="shared" si="11"/>
        <v>1254.8</v>
      </c>
      <c r="K15" s="1095">
        <f t="shared" si="12"/>
        <v>1384.8</v>
      </c>
      <c r="L15" s="1096">
        <f t="shared" si="1"/>
        <v>1.2773729360760078</v>
      </c>
      <c r="M15" s="1094" t="s">
        <v>894</v>
      </c>
      <c r="N15" s="1097">
        <f t="shared" si="13"/>
        <v>63.148027799999994</v>
      </c>
      <c r="O15" s="1097">
        <f t="shared" si="14"/>
        <v>69.888690199999999</v>
      </c>
      <c r="P15" s="1097">
        <f t="shared" si="15"/>
        <v>63.691138399999993</v>
      </c>
      <c r="Q15" s="1097">
        <f t="shared" si="16"/>
        <v>70.2896784</v>
      </c>
      <c r="R15" s="1098"/>
      <c r="S15" s="1070">
        <f>'[5]СВОД и Численность 061023'!BF15</f>
        <v>8615072.6999999993</v>
      </c>
      <c r="T15" s="1071">
        <f>S15*'[5]СВОД и Численность 061023'!$AH$4</f>
        <v>6637416.0057025785</v>
      </c>
      <c r="U15" s="1071">
        <f>S15*'[5]СВОД и Численность 061023'!$AH$5</f>
        <v>1977656.694297421</v>
      </c>
      <c r="V15" s="1222">
        <f>'[5]СВОД и Численность 061023'!BH15</f>
        <v>10398428</v>
      </c>
      <c r="W15" s="1222">
        <f>V15*'[5]СВОД и Численность 061023'!$AH$4</f>
        <v>8011388.2778198561</v>
      </c>
      <c r="X15" s="1222">
        <f>V15*'[5]СВОД и Численность 061023'!$AH$5</f>
        <v>2387039.7221801444</v>
      </c>
      <c r="Y15" s="1099">
        <f t="shared" si="17"/>
        <v>12066952.193707285</v>
      </c>
      <c r="Z15" s="1099">
        <f t="shared" si="17"/>
        <v>10996885.476551602</v>
      </c>
      <c r="AA15" s="1070">
        <f t="shared" si="4"/>
        <v>10107416.769013438</v>
      </c>
      <c r="AB15" s="1071">
        <f t="shared" si="18"/>
        <v>7911822.3517021351</v>
      </c>
      <c r="AC15" s="1071">
        <f t="shared" si="19"/>
        <v>2195594.4173113038</v>
      </c>
      <c r="AD15" s="1070">
        <f t="shared" si="5"/>
        <v>12136186.649608431</v>
      </c>
      <c r="AE15" s="1071">
        <f t="shared" si="20"/>
        <v>9499890.525259627</v>
      </c>
      <c r="AF15" s="1071">
        <f t="shared" si="21"/>
        <v>2636296.1243488048</v>
      </c>
      <c r="AG15" s="1072">
        <f t="shared" si="6"/>
        <v>1737758.6496084314</v>
      </c>
      <c r="AH15" s="1072">
        <f t="shared" si="7"/>
        <v>1492344.0690134391</v>
      </c>
      <c r="AI15" s="1072">
        <f t="shared" si="8"/>
        <v>1274406.3459995566</v>
      </c>
      <c r="AJ15" s="1072">
        <f t="shared" si="8"/>
        <v>217937.72301388276</v>
      </c>
      <c r="AK15" s="1072">
        <f>AA15*$F$4-'[5]СВОД и Численность 061023'!BG15-AH15</f>
        <v>233531.81592458859</v>
      </c>
      <c r="AL15" s="1072">
        <f>AD15-(AA15*$F$4)-('[5]СВОД и Численность 061023'!BH15-'[5]СВОД и Численность 061023'!BG15)</f>
        <v>11882.764670403674</v>
      </c>
      <c r="AM15" s="1073">
        <f t="shared" si="9"/>
        <v>0</v>
      </c>
      <c r="AN15" s="137"/>
    </row>
    <row r="16" spans="1:77" s="1088" customFormat="1" ht="54.75" customHeight="1" x14ac:dyDescent="0.4">
      <c r="A16" s="1074" t="s">
        <v>91</v>
      </c>
      <c r="B16" s="1074" t="s">
        <v>11</v>
      </c>
      <c r="C16" s="1076">
        <f>'[5]СВОД и Численность 061023'!O16</f>
        <v>307521171.10377598</v>
      </c>
      <c r="D16" s="1077">
        <f>'[5]СВОД и Численность 061023'!P16</f>
        <v>2.133264</v>
      </c>
      <c r="E16" s="1078">
        <f>'[5]СВОД и Численность 061023'!AD16</f>
        <v>355.2</v>
      </c>
      <c r="F16" s="1079">
        <f>'[5]СВОД и Численность 061023'!AJ16</f>
        <v>407.6</v>
      </c>
      <c r="G16" s="1090">
        <f t="shared" si="0"/>
        <v>1.1475225225225225</v>
      </c>
      <c r="H16" s="1067">
        <v>496.85001438771906</v>
      </c>
      <c r="I16" s="1079">
        <f t="shared" si="10"/>
        <v>451.1</v>
      </c>
      <c r="J16" s="1081">
        <f t="shared" si="11"/>
        <v>411.1</v>
      </c>
      <c r="K16" s="1081">
        <f t="shared" si="12"/>
        <v>453.7</v>
      </c>
      <c r="L16" s="1090">
        <f t="shared" si="1"/>
        <v>1.2773085585585586</v>
      </c>
      <c r="M16" s="1091" t="s">
        <v>894</v>
      </c>
      <c r="N16" s="1083">
        <f t="shared" si="13"/>
        <v>869.51840640000012</v>
      </c>
      <c r="O16" s="1083">
        <f t="shared" si="14"/>
        <v>962.31539040000007</v>
      </c>
      <c r="P16" s="1083">
        <f t="shared" si="15"/>
        <v>876.98483040000008</v>
      </c>
      <c r="Q16" s="1083">
        <f t="shared" si="16"/>
        <v>967.8618768</v>
      </c>
      <c r="R16" s="1092"/>
      <c r="S16" s="1070">
        <f>'[5]СВОД и Численность 061023'!BF16</f>
        <v>118641667.8</v>
      </c>
      <c r="T16" s="1071">
        <f>S16*'[5]СВОД и Численность 061023'!$AH$4</f>
        <v>91406553.632329568</v>
      </c>
      <c r="U16" s="1071">
        <f>S16*'[5]СВОД и Численность 061023'!$AH$5</f>
        <v>27235114.167670436</v>
      </c>
      <c r="V16" s="1222">
        <f>'[5]СВОД и Численность 061023'!BH16</f>
        <v>143200978.40000001</v>
      </c>
      <c r="W16" s="1222">
        <f>V16*'[5]СВОД и Численность 061023'!$AH$4</f>
        <v>110328084.18023324</v>
      </c>
      <c r="X16" s="1222">
        <f>V16*'[5]СВОД и Численность 061023'!$AH$5</f>
        <v>32872894.219766762</v>
      </c>
      <c r="Y16" s="1070">
        <f t="shared" si="17"/>
        <v>166152975.22381619</v>
      </c>
      <c r="Z16" s="1070">
        <f t="shared" si="17"/>
        <v>151419836.21039864</v>
      </c>
      <c r="AA16" s="1070">
        <f t="shared" si="4"/>
        <v>139175247.15345889</v>
      </c>
      <c r="AB16" s="1071">
        <f t="shared" si="18"/>
        <v>108942755.24564955</v>
      </c>
      <c r="AC16" s="1071">
        <f t="shared" si="19"/>
        <v>30232491.907809347</v>
      </c>
      <c r="AD16" s="1070">
        <f t="shared" si="5"/>
        <v>167110629.25968832</v>
      </c>
      <c r="AE16" s="1071">
        <f t="shared" si="20"/>
        <v>130809844.09756982</v>
      </c>
      <c r="AF16" s="1071">
        <f t="shared" si="21"/>
        <v>36300785.162118495</v>
      </c>
      <c r="AG16" s="1072">
        <f t="shared" si="6"/>
        <v>23909650.859688312</v>
      </c>
      <c r="AH16" s="1072">
        <f t="shared" si="7"/>
        <v>20533579.353458896</v>
      </c>
      <c r="AI16" s="1072">
        <f t="shared" si="8"/>
        <v>17536201.613319978</v>
      </c>
      <c r="AJ16" s="1072">
        <f t="shared" si="8"/>
        <v>2997377.7401389107</v>
      </c>
      <c r="AK16" s="1072">
        <f>AA16*$F$4-'[5]СВОД и Численность 061023'!BG16-AH16</f>
        <v>3212584.3990205377</v>
      </c>
      <c r="AL16" s="1072">
        <f>AD16-(AA16*$F$4)-('[5]СВОД и Численность 061023'!BH16-'[5]СВОД и Численность 061023'!BG16)</f>
        <v>163487.1072088778</v>
      </c>
      <c r="AM16" s="1073">
        <f t="shared" si="9"/>
        <v>0</v>
      </c>
      <c r="AN16" s="137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</row>
    <row r="17" spans="1:77" s="1088" customFormat="1" ht="51" x14ac:dyDescent="0.4">
      <c r="A17" s="1074" t="s">
        <v>92</v>
      </c>
      <c r="B17" s="1074" t="s">
        <v>11</v>
      </c>
      <c r="C17" s="1076">
        <f>'[5]СВОД и Численность 061023'!O17</f>
        <v>77843826.359999999</v>
      </c>
      <c r="D17" s="1077">
        <f>'[5]СВОД и Численность 061023'!P17</f>
        <v>0.54</v>
      </c>
      <c r="E17" s="1078">
        <f>'[5]СВОД и Численность 061023'!AD17</f>
        <v>770</v>
      </c>
      <c r="F17" s="1079">
        <f>'[5]СВОД и Численность 061023'!AJ17</f>
        <v>883.6</v>
      </c>
      <c r="G17" s="1090">
        <f t="shared" si="0"/>
        <v>1.1475324675324676</v>
      </c>
      <c r="H17" s="1067">
        <v>808.74622318611932</v>
      </c>
      <c r="I17" s="1079">
        <f t="shared" si="10"/>
        <v>977.9</v>
      </c>
      <c r="J17" s="1081">
        <f t="shared" si="11"/>
        <v>891.2</v>
      </c>
      <c r="K17" s="1081">
        <f t="shared" si="12"/>
        <v>983.6</v>
      </c>
      <c r="L17" s="1090">
        <f t="shared" si="1"/>
        <v>1.2774025974025975</v>
      </c>
      <c r="M17" s="1091" t="s">
        <v>894</v>
      </c>
      <c r="N17" s="1083">
        <f t="shared" si="13"/>
        <v>477.14400000000006</v>
      </c>
      <c r="O17" s="1083">
        <f t="shared" si="14"/>
        <v>528.06600000000003</v>
      </c>
      <c r="P17" s="1083">
        <f t="shared" si="15"/>
        <v>481.24800000000005</v>
      </c>
      <c r="Q17" s="1083">
        <f t="shared" si="16"/>
        <v>531.14400000000001</v>
      </c>
      <c r="R17" s="1092"/>
      <c r="S17" s="1070">
        <f>'[5]СВОД и Численность 061023'!BF17</f>
        <v>65100792</v>
      </c>
      <c r="T17" s="1071">
        <f>S17*'[5]СВОД и Численность 061023'!$AH$4</f>
        <v>50156400.74688103</v>
      </c>
      <c r="U17" s="1071">
        <f>S17*'[5]СВОД и Численность 061023'!$AH$5</f>
        <v>14944391.253118968</v>
      </c>
      <c r="V17" s="1222">
        <f>'[5]СВОД и Численность 061023'!BH17</f>
        <v>78576922.299999997</v>
      </c>
      <c r="W17" s="1222">
        <f>V17*'[5]СВОД и Численность 061023'!$AH$4</f>
        <v>60538980.913401678</v>
      </c>
      <c r="X17" s="1222">
        <f>V17*'[5]СВОД и Численность 061023'!$AH$5</f>
        <v>18037941.386598319</v>
      </c>
      <c r="Y17" s="1070">
        <f t="shared" si="17"/>
        <v>91175656.016547188</v>
      </c>
      <c r="Z17" s="1070">
        <f t="shared" si="17"/>
        <v>83092079.601131871</v>
      </c>
      <c r="AA17" s="1070">
        <f t="shared" si="4"/>
        <v>76376701.310399994</v>
      </c>
      <c r="AB17" s="1071">
        <f t="shared" si="18"/>
        <v>59785690.685027786</v>
      </c>
      <c r="AC17" s="1071">
        <f t="shared" si="19"/>
        <v>16591010.625372205</v>
      </c>
      <c r="AD17" s="1070">
        <f t="shared" si="5"/>
        <v>91707102.216868594</v>
      </c>
      <c r="AE17" s="1071">
        <f t="shared" si="20"/>
        <v>71785928.85905847</v>
      </c>
      <c r="AF17" s="1071">
        <f t="shared" si="21"/>
        <v>19921173.357810121</v>
      </c>
      <c r="AG17" s="1072">
        <f t="shared" si="6"/>
        <v>13130179.916868597</v>
      </c>
      <c r="AH17" s="1072">
        <f t="shared" si="7"/>
        <v>11275909.310399994</v>
      </c>
      <c r="AI17" s="1072">
        <f t="shared" si="8"/>
        <v>9629289.9381467551</v>
      </c>
      <c r="AJ17" s="1072">
        <f t="shared" si="8"/>
        <v>1646619.3722532373</v>
      </c>
      <c r="AK17" s="1072">
        <f>AA17*$F$4-'[5]СВОД и Численность 061023'!BG17-AH17</f>
        <v>1764487.3800026327</v>
      </c>
      <c r="AL17" s="1072">
        <f>AD17-(AA17*$F$4)-('[5]СВОД и Численность 061023'!BH17-'[5]СВОД и Численность 061023'!BG17)</f>
        <v>89783.226465970278</v>
      </c>
      <c r="AM17" s="1073">
        <f t="shared" si="9"/>
        <v>0</v>
      </c>
      <c r="AN17" s="137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</row>
    <row r="18" spans="1:77" s="1088" customFormat="1" ht="87" customHeight="1" x14ac:dyDescent="0.4">
      <c r="A18" s="1074" t="s">
        <v>93</v>
      </c>
      <c r="B18" s="1074" t="s">
        <v>94</v>
      </c>
      <c r="C18" s="1076">
        <f>'[5]СВОД и Численность 061023'!O18</f>
        <v>257706311.82180002</v>
      </c>
      <c r="D18" s="1077">
        <f>'[5]СВОД и Численность 061023'!P18</f>
        <v>1.7877000000000001</v>
      </c>
      <c r="E18" s="1078">
        <f>'[5]СВОД и Численность 061023'!AD18</f>
        <v>1727.1</v>
      </c>
      <c r="F18" s="1079">
        <f>'[5]СВОД и Численность 061023'!AJ18</f>
        <v>1982</v>
      </c>
      <c r="G18" s="1090">
        <f t="shared" si="0"/>
        <v>1.1475884430548318</v>
      </c>
      <c r="H18" s="1067">
        <v>2406.7109809822055</v>
      </c>
      <c r="I18" s="1079">
        <f t="shared" si="10"/>
        <v>2193.5</v>
      </c>
      <c r="J18" s="1081">
        <f t="shared" si="11"/>
        <v>1999</v>
      </c>
      <c r="K18" s="1081">
        <f t="shared" si="12"/>
        <v>2206.1999999999998</v>
      </c>
      <c r="L18" s="1090">
        <f t="shared" si="1"/>
        <v>1.2774014243529617</v>
      </c>
      <c r="M18" s="1091" t="s">
        <v>894</v>
      </c>
      <c r="N18" s="1083">
        <f t="shared" si="13"/>
        <v>3543.2214000000004</v>
      </c>
      <c r="O18" s="1083">
        <f t="shared" si="14"/>
        <v>3921.3199500000001</v>
      </c>
      <c r="P18" s="1083">
        <f t="shared" si="15"/>
        <v>3573.6123000000002</v>
      </c>
      <c r="Q18" s="1083">
        <f t="shared" si="16"/>
        <v>3944.0237399999996</v>
      </c>
      <c r="R18" s="1092"/>
      <c r="S18" s="1070">
        <f>'[5]СВОД и Численность 061023'!BF18</f>
        <v>482142738.80000001</v>
      </c>
      <c r="T18" s="1071">
        <f>S18*'[5]СВОД и Численность 061023'!$AH$4</f>
        <v>371463137.10671276</v>
      </c>
      <c r="U18" s="1071">
        <f>S18*'[5]СВОД и Численность 061023'!$AH$5</f>
        <v>110679601.69328728</v>
      </c>
      <c r="V18" s="1222">
        <f>'[5]СВОД и Численность 061023'!BH18</f>
        <v>581948258.20000005</v>
      </c>
      <c r="W18" s="1222">
        <f>V18*'[5]СВОД и Численность 061023'!$AH$4</f>
        <v>448357526.16079694</v>
      </c>
      <c r="X18" s="1222">
        <f>V18*'[5]СВОД и Численность 061023'!$AH$5</f>
        <v>133590732.03920314</v>
      </c>
      <c r="Y18" s="1070">
        <f t="shared" si="17"/>
        <v>677053472.27813184</v>
      </c>
      <c r="Z18" s="1070">
        <f t="shared" si="17"/>
        <v>617018413.9885962</v>
      </c>
      <c r="AA18" s="1070">
        <f t="shared" si="4"/>
        <v>567137204.13128388</v>
      </c>
      <c r="AB18" s="1071">
        <f t="shared" si="18"/>
        <v>443940218.42296332</v>
      </c>
      <c r="AC18" s="1071">
        <f t="shared" si="19"/>
        <v>123196985.70832056</v>
      </c>
      <c r="AD18" s="1070">
        <f t="shared" si="5"/>
        <v>680973499.22043049</v>
      </c>
      <c r="AE18" s="1071">
        <f t="shared" si="20"/>
        <v>533048302.56592882</v>
      </c>
      <c r="AF18" s="1071">
        <f t="shared" si="21"/>
        <v>147925196.65450165</v>
      </c>
      <c r="AG18" s="1072">
        <f t="shared" si="6"/>
        <v>99025241.020430446</v>
      </c>
      <c r="AH18" s="1072">
        <f t="shared" si="7"/>
        <v>84994465.331283867</v>
      </c>
      <c r="AI18" s="1072">
        <f t="shared" si="8"/>
        <v>72477081.316250563</v>
      </c>
      <c r="AJ18" s="1072">
        <f t="shared" si="8"/>
        <v>12517384.015033275</v>
      </c>
      <c r="AK18" s="1072">
        <f>AA18*$F$4-'[5]СВОД и Численность 061023'!BG18-AH18</f>
        <v>13353144.526480734</v>
      </c>
      <c r="AL18" s="1072">
        <f>AD18-(AA18*$F$4)-('[5]СВОД и Численность 061023'!BH18-'[5]СВОД и Численность 061023'!BG18)</f>
        <v>677631.16266584396</v>
      </c>
      <c r="AM18" s="1073">
        <f t="shared" si="9"/>
        <v>0</v>
      </c>
      <c r="AN18" s="137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</row>
    <row r="19" spans="1:77" s="1088" customFormat="1" ht="60.75" x14ac:dyDescent="0.4">
      <c r="A19" s="1100" t="s">
        <v>95</v>
      </c>
      <c r="B19" s="1100" t="s">
        <v>23</v>
      </c>
      <c r="C19" s="1076"/>
      <c r="D19" s="1077"/>
      <c r="E19" s="1078"/>
      <c r="F19" s="1079"/>
      <c r="G19" s="1090"/>
      <c r="H19" s="1067"/>
      <c r="I19" s="1101"/>
      <c r="J19" s="1102"/>
      <c r="K19" s="1102"/>
      <c r="L19" s="1103"/>
      <c r="M19" s="1104"/>
      <c r="N19" s="1105"/>
      <c r="O19" s="1105"/>
      <c r="P19" s="1105"/>
      <c r="Q19" s="1105"/>
      <c r="R19" s="1106"/>
      <c r="S19" s="1070"/>
      <c r="T19" s="1071"/>
      <c r="U19" s="1071"/>
      <c r="V19" s="1222"/>
      <c r="W19" s="1222"/>
      <c r="X19" s="1222"/>
      <c r="Y19" s="1107"/>
      <c r="Z19" s="1107"/>
      <c r="AA19" s="1070"/>
      <c r="AB19" s="1071"/>
      <c r="AC19" s="1071"/>
      <c r="AD19" s="1070"/>
      <c r="AE19" s="1071"/>
      <c r="AF19" s="1071"/>
      <c r="AG19" s="1072"/>
      <c r="AH19" s="1072"/>
      <c r="AI19" s="1072"/>
      <c r="AJ19" s="1072"/>
      <c r="AK19" s="1072"/>
      <c r="AL19" s="1072"/>
      <c r="AM19" s="1073">
        <f t="shared" si="9"/>
        <v>0</v>
      </c>
      <c r="AN19" s="137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</row>
    <row r="20" spans="1:77" ht="31.5" customHeight="1" x14ac:dyDescent="0.4">
      <c r="A20" s="1108" t="s">
        <v>96</v>
      </c>
      <c r="B20" s="1108" t="s">
        <v>23</v>
      </c>
      <c r="C20" s="1076">
        <f>'[5]СВОД и Численность 061023'!O20</f>
        <v>7274793.8838100005</v>
      </c>
      <c r="D20" s="1077">
        <f>'[5]СВОД и Численность 061023'!P20</f>
        <v>5.0465000000000003E-2</v>
      </c>
      <c r="E20" s="1078">
        <f>'[5]СВОД и Численность 061023'!AD20</f>
        <v>2692.1</v>
      </c>
      <c r="F20" s="1079">
        <f>'[5]СВОД и Численность 061023'!AJ20</f>
        <v>3089.4</v>
      </c>
      <c r="G20" s="1090">
        <f t="shared" si="0"/>
        <v>1.1475799561680473</v>
      </c>
      <c r="H20" s="1067">
        <v>2536.1140220814518</v>
      </c>
      <c r="I20" s="1109">
        <f t="shared" ref="I20:I30" si="22">ROUND(F20*$O$4*$S$4+F20*$S$5,1)</f>
        <v>3419.1</v>
      </c>
      <c r="J20" s="1102">
        <f t="shared" ref="J20:J30" si="23">ROUND(F20*$S$4+F20*$O$5*$S$5,1)</f>
        <v>3115.9</v>
      </c>
      <c r="K20" s="1102">
        <f t="shared" ref="K20:K30" si="24">ROUND(F20*$O$4*$Y$4+F20*$O$5*$Y$5,1)</f>
        <v>3438.9</v>
      </c>
      <c r="L20" s="1103">
        <f t="shared" si="1"/>
        <v>1.2774042568998181</v>
      </c>
      <c r="M20" s="1094" t="s">
        <v>894</v>
      </c>
      <c r="N20" s="1105">
        <f t="shared" ref="N20:N30" si="25">+F20*D20</f>
        <v>155.90657100000001</v>
      </c>
      <c r="O20" s="1105">
        <f t="shared" ref="O20:O44" si="26">I20*D20</f>
        <v>172.5448815</v>
      </c>
      <c r="P20" s="1105">
        <f t="shared" ref="P20:P44" si="27">J20*D20</f>
        <v>157.24389350000001</v>
      </c>
      <c r="Q20" s="1105">
        <f t="shared" ref="Q20:Q44" si="28">K20*D20</f>
        <v>173.54408850000002</v>
      </c>
      <c r="R20" s="1098"/>
      <c r="S20" s="1070">
        <f>'[5]СВОД и Численность 061023'!BF20</f>
        <v>21269314.899999999</v>
      </c>
      <c r="T20" s="1071">
        <f>S20*'[5]СВОД и Численность 061023'!$AH$4</f>
        <v>16386778.854180573</v>
      </c>
      <c r="U20" s="1071">
        <f>S20*'[5]СВОД и Численность 061023'!$AH$5</f>
        <v>4882536.045819426</v>
      </c>
      <c r="V20" s="1222">
        <f>'[5]СВОД и Численность 061023'!BH20</f>
        <v>25672150.100000001</v>
      </c>
      <c r="W20" s="1222">
        <f>V20*'[5]СВОД и Численность 061023'!$AH$4</f>
        <v>19778909.117567755</v>
      </c>
      <c r="X20" s="1222">
        <f>V20*'[5]СВОД и Численность 061023'!$AH$5</f>
        <v>5893240.9824322453</v>
      </c>
      <c r="Y20" s="1110">
        <f t="shared" ref="Y20:Z31" si="29">O20*$D$2*$F$3*$F$4/1000</f>
        <v>29791527.504251163</v>
      </c>
      <c r="Z20" s="1110">
        <f t="shared" si="29"/>
        <v>27149665.277557317</v>
      </c>
      <c r="AA20" s="1070">
        <f t="shared" si="4"/>
        <v>24955049.8763991</v>
      </c>
      <c r="AB20" s="1071">
        <f t="shared" si="18"/>
        <v>19534162.478115331</v>
      </c>
      <c r="AC20" s="1071">
        <f t="shared" si="19"/>
        <v>5420887.3982837694</v>
      </c>
      <c r="AD20" s="1070">
        <f t="shared" si="5"/>
        <v>29964050.169450827</v>
      </c>
      <c r="AE20" s="1071">
        <f t="shared" ref="AE20:AE30" si="30">AD20*$Y$4</f>
        <v>23455077.325492047</v>
      </c>
      <c r="AF20" s="1071">
        <f t="shared" ref="AF20:AF30" si="31">AD20*$Y$5</f>
        <v>6508972.8439587802</v>
      </c>
      <c r="AG20" s="1072">
        <f t="shared" ref="AG20:AG55" si="32">AD20-V20</f>
        <v>4291900.0694508255</v>
      </c>
      <c r="AH20" s="1072">
        <f t="shared" si="7"/>
        <v>3685734.9763991013</v>
      </c>
      <c r="AI20" s="1072">
        <f t="shared" ref="AI20:AJ55" si="33">+AB20-T20</f>
        <v>3147383.6239347588</v>
      </c>
      <c r="AJ20" s="1072">
        <f t="shared" si="33"/>
        <v>538351.35246434342</v>
      </c>
      <c r="AK20" s="1072">
        <f>AA20*$F$4-'[5]СВОД и Численность 061023'!BG20-AH20</f>
        <v>576816.78103066981</v>
      </c>
      <c r="AL20" s="1072">
        <f>AD20-(AA20*$F$4)-('[5]СВОД и Численность 061023'!BH20-'[5]СВОД и Численность 061023'!BG20)</f>
        <v>29348.312021054327</v>
      </c>
      <c r="AM20" s="1073">
        <f t="shared" si="9"/>
        <v>0</v>
      </c>
      <c r="AN20" s="137"/>
    </row>
    <row r="21" spans="1:77" ht="26.25" x14ac:dyDescent="0.4">
      <c r="A21" s="1108" t="s">
        <v>97</v>
      </c>
      <c r="B21" s="1108" t="s">
        <v>23</v>
      </c>
      <c r="C21" s="1076">
        <f>'[5]СВОД и Численность 061023'!O21</f>
        <v>2620597.9988859999</v>
      </c>
      <c r="D21" s="1077">
        <f>'[5]СВОД и Численность 061023'!P21</f>
        <v>1.8179000000000001E-2</v>
      </c>
      <c r="E21" s="1078">
        <f>'[5]СВОД и Численность 061023'!AD21</f>
        <v>3675.9</v>
      </c>
      <c r="F21" s="1079">
        <f>'[5]СВОД и Численность 061023'!AJ21</f>
        <v>4218.3</v>
      </c>
      <c r="G21" s="1090">
        <f t="shared" si="0"/>
        <v>1.1475557006447401</v>
      </c>
      <c r="H21" s="1067">
        <v>3351.0159824810125</v>
      </c>
      <c r="I21" s="1109">
        <f t="shared" si="22"/>
        <v>4668.5</v>
      </c>
      <c r="J21" s="1102">
        <f t="shared" si="23"/>
        <v>4254.5</v>
      </c>
      <c r="K21" s="1102">
        <f t="shared" si="24"/>
        <v>4695.5</v>
      </c>
      <c r="L21" s="1103">
        <f t="shared" si="1"/>
        <v>1.2773742484833646</v>
      </c>
      <c r="M21" s="1094" t="s">
        <v>894</v>
      </c>
      <c r="N21" s="1105">
        <f t="shared" si="25"/>
        <v>76.684475700000007</v>
      </c>
      <c r="O21" s="1105">
        <f t="shared" si="26"/>
        <v>84.868661500000002</v>
      </c>
      <c r="P21" s="1105">
        <f t="shared" si="27"/>
        <v>77.342555500000003</v>
      </c>
      <c r="Q21" s="1105">
        <f t="shared" si="28"/>
        <v>85.359494499999997</v>
      </c>
      <c r="R21" s="1098"/>
      <c r="S21" s="1070">
        <f>'[5]СВОД и Численность 061023'!BF21</f>
        <v>10461951.300000001</v>
      </c>
      <c r="T21" s="1071">
        <f>S21*'[5]СВОД и Численность 061023'!$AH$4</f>
        <v>8060329.312078923</v>
      </c>
      <c r="U21" s="1071">
        <f>S21*'[5]СВОД и Численность 061023'!$AH$5</f>
        <v>2401621.9879210782</v>
      </c>
      <c r="V21" s="1222">
        <f>'[5]СВОД и Численность 061023'!BH21</f>
        <v>12627618</v>
      </c>
      <c r="W21" s="1222">
        <f>V21*'[5]СВОД и Численность 061023'!$AH$4</f>
        <v>9728850.4398921654</v>
      </c>
      <c r="X21" s="1222">
        <f>V21*'[5]СВОД и Численность 061023'!$AH$5</f>
        <v>2898767.5601078342</v>
      </c>
      <c r="Y21" s="1110">
        <f t="shared" si="29"/>
        <v>14653387.810441839</v>
      </c>
      <c r="Z21" s="1110">
        <f t="shared" si="29"/>
        <v>13353933.4774606</v>
      </c>
      <c r="AA21" s="1070">
        <f t="shared" si="4"/>
        <v>12274405.086818699</v>
      </c>
      <c r="AB21" s="1071">
        <f t="shared" si="18"/>
        <v>9608084.3146252818</v>
      </c>
      <c r="AC21" s="1071">
        <f t="shared" si="19"/>
        <v>2666320.772193417</v>
      </c>
      <c r="AD21" s="1070">
        <f t="shared" si="5"/>
        <v>14738134.832158009</v>
      </c>
      <c r="AE21" s="1071">
        <f t="shared" si="30"/>
        <v>11536627.731127894</v>
      </c>
      <c r="AF21" s="1071">
        <f t="shared" si="31"/>
        <v>3201507.101030116</v>
      </c>
      <c r="AG21" s="1072">
        <f t="shared" si="32"/>
        <v>2110516.8321580086</v>
      </c>
      <c r="AH21" s="1072">
        <f t="shared" si="7"/>
        <v>1812453.786818698</v>
      </c>
      <c r="AI21" s="1072">
        <f t="shared" si="33"/>
        <v>1547755.0025463589</v>
      </c>
      <c r="AJ21" s="1072">
        <f t="shared" si="33"/>
        <v>264698.78427233873</v>
      </c>
      <c r="AK21" s="1072">
        <f>AA21*$F$4-'[5]СВОД и Численность 061023'!BG21-AH21</f>
        <v>283631.32690629736</v>
      </c>
      <c r="AL21" s="1072">
        <f>AD21-(AA21*$F$4)-('[5]СВОД и Численность 061023'!BH21-'[5]СВОД и Численность 061023'!BG21)</f>
        <v>14431.718433013186</v>
      </c>
      <c r="AM21" s="1073">
        <f t="shared" si="9"/>
        <v>0</v>
      </c>
      <c r="AN21" s="137"/>
    </row>
    <row r="22" spans="1:77" ht="40.5" x14ac:dyDescent="0.4">
      <c r="A22" s="1108" t="s">
        <v>98</v>
      </c>
      <c r="B22" s="1108" t="s">
        <v>23</v>
      </c>
      <c r="C22" s="1076">
        <f>'[5]СВОД и Численность 061023'!O22</f>
        <v>13678890.15426</v>
      </c>
      <c r="D22" s="1077">
        <f>'[5]СВОД и Численность 061023'!P22</f>
        <v>9.4890000000000002E-2</v>
      </c>
      <c r="E22" s="1078">
        <f>'[5]СВОД и Численность 061023'!AD22</f>
        <v>543.6</v>
      </c>
      <c r="F22" s="1079">
        <f>'[5]СВОД и Численность 061023'!AJ22</f>
        <v>623.79999999999995</v>
      </c>
      <c r="G22" s="1090">
        <f t="shared" si="0"/>
        <v>1.1475349521707137</v>
      </c>
      <c r="H22" s="1067">
        <v>415.19329032893364</v>
      </c>
      <c r="I22" s="1109">
        <f t="shared" si="22"/>
        <v>690.4</v>
      </c>
      <c r="J22" s="1102">
        <f t="shared" si="23"/>
        <v>629.20000000000005</v>
      </c>
      <c r="K22" s="1102">
        <f t="shared" si="24"/>
        <v>694.4</v>
      </c>
      <c r="L22" s="1103">
        <f t="shared" si="1"/>
        <v>1.2774098601913171</v>
      </c>
      <c r="M22" s="1094" t="s">
        <v>894</v>
      </c>
      <c r="N22" s="1105">
        <f t="shared" si="25"/>
        <v>59.192381999999995</v>
      </c>
      <c r="O22" s="1105">
        <f t="shared" si="26"/>
        <v>65.512056000000001</v>
      </c>
      <c r="P22" s="1105">
        <f t="shared" si="27"/>
        <v>59.704788000000008</v>
      </c>
      <c r="Q22" s="1105">
        <f t="shared" si="28"/>
        <v>65.891615999999999</v>
      </c>
      <c r="R22" s="1098"/>
      <c r="S22" s="1070">
        <f>'[5]СВОД и Численность 061023'!BF22</f>
        <v>8076016.7000000002</v>
      </c>
      <c r="T22" s="1071">
        <f>S22*'[5]СВОД и Численность 061023'!$AH$4</f>
        <v>6222104.4875107463</v>
      </c>
      <c r="U22" s="1071">
        <f>S22*'[5]СВОД и Численность 061023'!$AH$5</f>
        <v>1853912.2124892536</v>
      </c>
      <c r="V22" s="1222">
        <f>'[5]СВОД и Численность 061023'!BH22</f>
        <v>9747785.1999999993</v>
      </c>
      <c r="W22" s="1222">
        <f>V22*'[5]СВОД и Численность 061023'!$AH$4</f>
        <v>7510105.5742258225</v>
      </c>
      <c r="X22" s="1222">
        <f>V22*'[5]СВОД и Численность 061023'!$AH$5</f>
        <v>2237679.6257741768</v>
      </c>
      <c r="Y22" s="1110">
        <f t="shared" si="29"/>
        <v>11311284.352321066</v>
      </c>
      <c r="Z22" s="1110">
        <f t="shared" si="29"/>
        <v>10308603.873812886</v>
      </c>
      <c r="AA22" s="1070">
        <f t="shared" si="4"/>
        <v>9474990.3493055999</v>
      </c>
      <c r="AB22" s="1071">
        <f t="shared" si="18"/>
        <v>7416775.4373816298</v>
      </c>
      <c r="AC22" s="1071">
        <f t="shared" si="19"/>
        <v>2058214.9119239703</v>
      </c>
      <c r="AD22" s="1070">
        <f t="shared" si="5"/>
        <v>11376819.024118984</v>
      </c>
      <c r="AE22" s="1071">
        <f t="shared" si="30"/>
        <v>8905477.3443442807</v>
      </c>
      <c r="AF22" s="1071">
        <f t="shared" si="31"/>
        <v>2471341.6797747035</v>
      </c>
      <c r="AG22" s="1072">
        <f t="shared" si="32"/>
        <v>1629033.8241189849</v>
      </c>
      <c r="AH22" s="1072">
        <f t="shared" si="7"/>
        <v>1398973.6493055997</v>
      </c>
      <c r="AI22" s="1072">
        <f t="shared" si="33"/>
        <v>1194670.9498708835</v>
      </c>
      <c r="AJ22" s="1072">
        <f t="shared" si="33"/>
        <v>204302.69943471672</v>
      </c>
      <c r="AK22" s="1072">
        <f>AA22*$F$4-'[5]СВОД и Численность 061023'!BG22-AH22</f>
        <v>218920.94035705458</v>
      </c>
      <c r="AL22" s="1072">
        <f>AD22-(AA22*$F$4)-('[5]СВОД и Численность 061023'!BH22-'[5]СВОД и Численность 061023'!BG22)</f>
        <v>11139.234456330538</v>
      </c>
      <c r="AM22" s="1073">
        <f t="shared" si="9"/>
        <v>0</v>
      </c>
      <c r="AN22" s="137"/>
    </row>
    <row r="23" spans="1:77" ht="40.5" x14ac:dyDescent="0.4">
      <c r="A23" s="1108" t="s">
        <v>99</v>
      </c>
      <c r="B23" s="1108" t="s">
        <v>23</v>
      </c>
      <c r="C23" s="1076">
        <f>'[5]СВОД и Численность 061023'!O23</f>
        <v>4456991.5248119999</v>
      </c>
      <c r="D23" s="1077">
        <f>'[5]СВОД и Численность 061023'!P23</f>
        <v>3.0918000000000001E-2</v>
      </c>
      <c r="E23" s="1078">
        <f>'[5]СВОД и Численность 061023'!AD23</f>
        <v>996.8</v>
      </c>
      <c r="F23" s="1079">
        <f>'[5]СВОД и Численность 061023'!AJ23</f>
        <v>1143.9000000000001</v>
      </c>
      <c r="G23" s="1090">
        <f t="shared" si="0"/>
        <v>1.147572231139647</v>
      </c>
      <c r="H23" s="1067">
        <v>1052.9293226366653</v>
      </c>
      <c r="I23" s="1109">
        <f t="shared" si="22"/>
        <v>1266</v>
      </c>
      <c r="J23" s="1102">
        <f t="shared" si="23"/>
        <v>1153.7</v>
      </c>
      <c r="K23" s="1102">
        <f t="shared" si="24"/>
        <v>1273.3</v>
      </c>
      <c r="L23" s="1103">
        <f t="shared" si="1"/>
        <v>1.2773876404494382</v>
      </c>
      <c r="M23" s="1094" t="s">
        <v>894</v>
      </c>
      <c r="N23" s="1105">
        <f t="shared" si="25"/>
        <v>35.367100200000003</v>
      </c>
      <c r="O23" s="1105">
        <f t="shared" si="26"/>
        <v>39.142188000000004</v>
      </c>
      <c r="P23" s="1105">
        <f t="shared" si="27"/>
        <v>35.670096600000001</v>
      </c>
      <c r="Q23" s="1105">
        <f t="shared" si="28"/>
        <v>39.367889400000003</v>
      </c>
      <c r="R23" s="1098"/>
      <c r="S23" s="1070">
        <f>'[5]СВОД и Численность 061023'!BF23</f>
        <v>4825139</v>
      </c>
      <c r="T23" s="1071">
        <f>S23*'[5]СВОД и Численность 061023'!$AH$4</f>
        <v>3717490.9537721877</v>
      </c>
      <c r="U23" s="1071">
        <f>S23*'[5]СВОД и Численность 061023'!$AH$5</f>
        <v>1107648.0462278123</v>
      </c>
      <c r="V23" s="1222">
        <f>'[5]СВОД и Численность 061023'!BH23</f>
        <v>5823962.5</v>
      </c>
      <c r="W23" s="1222">
        <f>V23*'[5]СВОД и Численность 061023'!$AH$4</f>
        <v>4487026.7797173206</v>
      </c>
      <c r="X23" s="1222">
        <f>V23*'[5]СВОД и Численность 061023'!$AH$5</f>
        <v>1336935.7202826792</v>
      </c>
      <c r="Y23" s="1110">
        <f t="shared" si="29"/>
        <v>6758273.9067143518</v>
      </c>
      <c r="Z23" s="1110">
        <f t="shared" si="29"/>
        <v>6158784.0491124392</v>
      </c>
      <c r="AA23" s="1070">
        <f t="shared" si="4"/>
        <v>5660968.6448960397</v>
      </c>
      <c r="AB23" s="1071">
        <f t="shared" si="18"/>
        <v>4431258.6767256791</v>
      </c>
      <c r="AC23" s="1071">
        <f t="shared" si="19"/>
        <v>1229709.9681703602</v>
      </c>
      <c r="AD23" s="1070">
        <f t="shared" si="5"/>
        <v>6797243.4166029897</v>
      </c>
      <c r="AE23" s="1071">
        <f t="shared" si="30"/>
        <v>5320704.9459274374</v>
      </c>
      <c r="AF23" s="1071">
        <f t="shared" si="31"/>
        <v>1476538.4706755525</v>
      </c>
      <c r="AG23" s="1072">
        <f t="shared" si="32"/>
        <v>973280.91660298966</v>
      </c>
      <c r="AH23" s="1072">
        <f t="shared" si="7"/>
        <v>835829.64489603974</v>
      </c>
      <c r="AI23" s="1072">
        <f t="shared" si="33"/>
        <v>713767.72295349138</v>
      </c>
      <c r="AJ23" s="1072">
        <f t="shared" si="33"/>
        <v>122061.9219425479</v>
      </c>
      <c r="AK23" s="1072">
        <f>AA23*$F$4-'[5]СВОД и Численность 061023'!BG23-AH23</f>
        <v>130796.02521681227</v>
      </c>
      <c r="AL23" s="1072">
        <f>AD23-(AA23*$F$4)-('[5]СВОД и Численность 061023'!BH23-'[5]СВОД и Численность 061023'!BG23)</f>
        <v>6655.2464901376516</v>
      </c>
      <c r="AM23" s="1073">
        <f t="shared" si="9"/>
        <v>0</v>
      </c>
      <c r="AN23" s="137"/>
    </row>
    <row r="24" spans="1:77" ht="60.75" x14ac:dyDescent="0.4">
      <c r="A24" s="1108" t="s">
        <v>100</v>
      </c>
      <c r="B24" s="1108" t="s">
        <v>23</v>
      </c>
      <c r="C24" s="1076">
        <f>'[5]СВОД и Численность 061023'!O24</f>
        <v>161453.86207999999</v>
      </c>
      <c r="D24" s="1077">
        <f>'[5]СВОД и Численность 061023'!P24</f>
        <v>1.1199999999999999E-3</v>
      </c>
      <c r="E24" s="1078">
        <f>'[5]СВОД и Численность 061023'!AD24</f>
        <v>8371.1</v>
      </c>
      <c r="F24" s="1079">
        <f>'[5]СВОД и Численность 061023'!AJ24</f>
        <v>9606.4</v>
      </c>
      <c r="G24" s="1090">
        <f t="shared" si="0"/>
        <v>1.1475672253347826</v>
      </c>
      <c r="H24" s="1067">
        <v>8269.1600418584767</v>
      </c>
      <c r="I24" s="1109">
        <f t="shared" si="22"/>
        <v>10631.6</v>
      </c>
      <c r="J24" s="1102">
        <f t="shared" si="23"/>
        <v>9688.7999999999993</v>
      </c>
      <c r="K24" s="1102">
        <f t="shared" si="24"/>
        <v>10693.2</v>
      </c>
      <c r="L24" s="1103">
        <f t="shared" si="1"/>
        <v>1.2773948465554108</v>
      </c>
      <c r="M24" s="1094" t="s">
        <v>894</v>
      </c>
      <c r="N24" s="1105">
        <f t="shared" si="25"/>
        <v>10.759167999999999</v>
      </c>
      <c r="O24" s="1105">
        <f t="shared" si="26"/>
        <v>11.907392</v>
      </c>
      <c r="P24" s="1105">
        <f t="shared" si="27"/>
        <v>10.851455999999999</v>
      </c>
      <c r="Q24" s="1105">
        <f t="shared" si="28"/>
        <v>11.976383999999999</v>
      </c>
      <c r="R24" s="1098"/>
      <c r="S24" s="1070">
        <f>'[5]СВОД и Численность 061023'!BF24</f>
        <v>1467841.6</v>
      </c>
      <c r="T24" s="1071">
        <f>S24*'[5]СВОД и Численность 061023'!$AH$4</f>
        <v>1130887.1867878821</v>
      </c>
      <c r="U24" s="1071">
        <f>S24*'[5]СВОД и Численность 061023'!$AH$5</f>
        <v>336954.41321211809</v>
      </c>
      <c r="V24" s="1222">
        <f>'[5]СВОД и Численность 061023'!BH24</f>
        <v>1771690.8</v>
      </c>
      <c r="W24" s="1222">
        <f>V24*'[5]СВОД и Численность 061023'!$AH$4</f>
        <v>1364985.4484775278</v>
      </c>
      <c r="X24" s="1222">
        <f>V24*'[5]СВОД и Численность 061023'!$AH$5</f>
        <v>406705.35152247222</v>
      </c>
      <c r="Y24" s="1110">
        <f t="shared" si="29"/>
        <v>2055925.3522214759</v>
      </c>
      <c r="Z24" s="1110">
        <f t="shared" si="29"/>
        <v>1873607.8814668939</v>
      </c>
      <c r="AA24" s="1070">
        <f t="shared" si="4"/>
        <v>1722163.2994943999</v>
      </c>
      <c r="AB24" s="1071">
        <f t="shared" si="18"/>
        <v>1348064.5349455436</v>
      </c>
      <c r="AC24" s="1071">
        <f t="shared" si="19"/>
        <v>374098.76454885624</v>
      </c>
      <c r="AD24" s="1070">
        <f t="shared" si="5"/>
        <v>2067837.48225805</v>
      </c>
      <c r="AE24" s="1071">
        <f t="shared" si="30"/>
        <v>1618649.2736673411</v>
      </c>
      <c r="AF24" s="1071">
        <f t="shared" si="31"/>
        <v>449188.20859070885</v>
      </c>
      <c r="AG24" s="1072">
        <f t="shared" si="32"/>
        <v>296146.68225804996</v>
      </c>
      <c r="AH24" s="1072">
        <f t="shared" si="7"/>
        <v>254321.69949439983</v>
      </c>
      <c r="AI24" s="1072">
        <f t="shared" si="33"/>
        <v>217177.3481576615</v>
      </c>
      <c r="AJ24" s="1072">
        <f t="shared" si="33"/>
        <v>37144.351336738153</v>
      </c>
      <c r="AK24" s="1072">
        <f>AA24*$F$4-'[5]СВОД и Численность 061023'!BG24-AH24</f>
        <v>39799.90154654556</v>
      </c>
      <c r="AL24" s="1072">
        <f>AD24-(AA24*$F$4)-('[5]СВОД и Численность 061023'!BH24-'[5]СВОД и Численность 061023'!BG24)</f>
        <v>2025.0812171045691</v>
      </c>
      <c r="AM24" s="1073">
        <f t="shared" si="9"/>
        <v>0</v>
      </c>
      <c r="AN24" s="137"/>
    </row>
    <row r="25" spans="1:77" ht="101.25" x14ac:dyDescent="0.4">
      <c r="A25" s="1108" t="s">
        <v>101</v>
      </c>
      <c r="B25" s="1108" t="s">
        <v>23</v>
      </c>
      <c r="C25" s="1076">
        <f>'[5]СВОД и Численность 061023'!O25</f>
        <v>2190006.3149279999</v>
      </c>
      <c r="D25" s="1077">
        <f>'[5]СВОД и Численность 061023'!P25</f>
        <v>1.5192000000000001E-2</v>
      </c>
      <c r="E25" s="1078">
        <f>'[5]СВОД и Численность 061023'!AD25</f>
        <v>2064.5</v>
      </c>
      <c r="F25" s="1079">
        <f>'[5]СВОД и Численность 061023'!AJ25</f>
        <v>2369.1</v>
      </c>
      <c r="G25" s="1090">
        <f t="shared" si="0"/>
        <v>1.147541777670138</v>
      </c>
      <c r="H25" s="1067">
        <v>1764.4099268647756</v>
      </c>
      <c r="I25" s="1109">
        <f t="shared" si="22"/>
        <v>2621.9</v>
      </c>
      <c r="J25" s="1102">
        <f t="shared" si="23"/>
        <v>2389.4</v>
      </c>
      <c r="K25" s="1102">
        <f t="shared" si="24"/>
        <v>2637.1</v>
      </c>
      <c r="L25" s="1103">
        <f t="shared" si="1"/>
        <v>1.2773552918382174</v>
      </c>
      <c r="M25" s="1094" t="s">
        <v>894</v>
      </c>
      <c r="N25" s="1105">
        <f t="shared" si="25"/>
        <v>35.991367199999999</v>
      </c>
      <c r="O25" s="1105">
        <f t="shared" si="26"/>
        <v>39.831904800000004</v>
      </c>
      <c r="P25" s="1105">
        <f t="shared" si="27"/>
        <v>36.299764800000005</v>
      </c>
      <c r="Q25" s="1105">
        <f t="shared" si="28"/>
        <v>40.062823199999997</v>
      </c>
      <c r="R25" s="1098"/>
      <c r="S25" s="1070">
        <f>'[5]СВОД и Численность 061023'!BF25</f>
        <v>4910213.2</v>
      </c>
      <c r="T25" s="1071">
        <f>S25*'[5]СВОД и Численность 061023'!$AH$4</f>
        <v>3783035.7119437982</v>
      </c>
      <c r="U25" s="1071">
        <f>S25*'[5]СВОД и Численность 061023'!$AH$5</f>
        <v>1127177.4880562022</v>
      </c>
      <c r="V25" s="1222">
        <f>'[5]СВОД и Численность 061023'!BH25</f>
        <v>5926647.4000000004</v>
      </c>
      <c r="W25" s="1222">
        <f>V25*'[5]СВОД и Численность 061023'!$AH$4</f>
        <v>4566139.5652430858</v>
      </c>
      <c r="X25" s="1222">
        <f>V25*'[5]СВОД и Численность 061023'!$AH$5</f>
        <v>1360507.8347569148</v>
      </c>
      <c r="Y25" s="1110">
        <f t="shared" si="29"/>
        <v>6877360.1226525744</v>
      </c>
      <c r="Z25" s="1110">
        <f t="shared" si="29"/>
        <v>6267502.2987398691</v>
      </c>
      <c r="AA25" s="1070">
        <f t="shared" si="4"/>
        <v>5760897.7625611192</v>
      </c>
      <c r="AB25" s="1071">
        <f t="shared" si="18"/>
        <v>4509480.584933944</v>
      </c>
      <c r="AC25" s="1071">
        <f t="shared" si="19"/>
        <v>1251417.1776271746</v>
      </c>
      <c r="AD25" s="1070">
        <f t="shared" si="5"/>
        <v>6917230.3975922419</v>
      </c>
      <c r="AE25" s="1071">
        <f t="shared" si="30"/>
        <v>5414627.6266478328</v>
      </c>
      <c r="AF25" s="1071">
        <f t="shared" si="31"/>
        <v>1502602.7709444088</v>
      </c>
      <c r="AG25" s="1072">
        <f t="shared" si="32"/>
        <v>990582.9975922415</v>
      </c>
      <c r="AH25" s="1072">
        <f t="shared" si="7"/>
        <v>850684.56256111898</v>
      </c>
      <c r="AI25" s="1072">
        <f t="shared" si="33"/>
        <v>726444.87299014581</v>
      </c>
      <c r="AJ25" s="1072">
        <f t="shared" si="33"/>
        <v>124239.68957097246</v>
      </c>
      <c r="AK25" s="1072">
        <f>AA25*$F$4-'[5]СВОД и Численность 061023'!BG25-AH25</f>
        <v>133124.81286256108</v>
      </c>
      <c r="AL25" s="1072">
        <f>AD25-(AA25*$F$4)-('[5]СВОД и Численность 061023'!BH25-'[5]СВОД и Численность 061023'!BG25)</f>
        <v>6773.6221685614437</v>
      </c>
      <c r="AM25" s="1073">
        <f t="shared" si="9"/>
        <v>0</v>
      </c>
      <c r="AN25" s="137"/>
    </row>
    <row r="26" spans="1:77" ht="40.5" hidden="1" x14ac:dyDescent="0.4">
      <c r="A26" s="1093" t="s">
        <v>102</v>
      </c>
      <c r="B26" s="1108" t="s">
        <v>23</v>
      </c>
      <c r="C26" s="1076">
        <f>'[5]СВОД и Численность 061023'!O26</f>
        <v>14816130.795286</v>
      </c>
      <c r="D26" s="1077">
        <f>'[5]СВОД и Численность 061023'!P26</f>
        <v>0.102779</v>
      </c>
      <c r="E26" s="1078">
        <f>'[5]СВОД и Численность 061023'!AD26</f>
        <v>399.6</v>
      </c>
      <c r="F26" s="1079">
        <f>'[5]СВОД и Численность 061023'!AJ26</f>
        <v>458.6</v>
      </c>
      <c r="G26" s="1090">
        <f t="shared" si="0"/>
        <v>1.1476476476476476</v>
      </c>
      <c r="H26" s="1067"/>
      <c r="I26" s="1109">
        <f t="shared" si="22"/>
        <v>507.5</v>
      </c>
      <c r="J26" s="1102">
        <f t="shared" si="23"/>
        <v>462.5</v>
      </c>
      <c r="K26" s="1102">
        <f t="shared" si="24"/>
        <v>510.5</v>
      </c>
      <c r="L26" s="1103">
        <f t="shared" si="1"/>
        <v>1.2775275275275275</v>
      </c>
      <c r="M26" s="1094" t="s">
        <v>894</v>
      </c>
      <c r="N26" s="1105">
        <f t="shared" si="25"/>
        <v>47.134449400000001</v>
      </c>
      <c r="O26" s="1105">
        <f t="shared" si="26"/>
        <v>52.160342499999999</v>
      </c>
      <c r="P26" s="1105">
        <f t="shared" si="27"/>
        <v>47.535287499999995</v>
      </c>
      <c r="Q26" s="1105">
        <f t="shared" si="28"/>
        <v>52.4686795</v>
      </c>
      <c r="R26" s="1098"/>
      <c r="S26" s="1070">
        <f>'[5]СВОД и Численность 061023'!BF26</f>
        <v>6430200.7999999998</v>
      </c>
      <c r="T26" s="1071">
        <f>S26*'[5]СВОД и Численность 061023'!$AH$4</f>
        <v>4954098.380365557</v>
      </c>
      <c r="U26" s="1071">
        <f>S26*'[5]СВОД и Численность 061023'!$AH$5</f>
        <v>1476102.4196344428</v>
      </c>
      <c r="V26" s="1222">
        <f>'[5]СВОД и Численность 061023'!BH26</f>
        <v>7761278.7000000002</v>
      </c>
      <c r="W26" s="1222">
        <f>V26*'[5]СВОД и Численность 061023'!$AH$4</f>
        <v>5979617.0342356488</v>
      </c>
      <c r="X26" s="1222">
        <f>V26*'[5]СВОД и Численность 061023'!$AH$5</f>
        <v>1781661.6657643511</v>
      </c>
      <c r="Y26" s="1110">
        <f t="shared" si="29"/>
        <v>9005983.0503862891</v>
      </c>
      <c r="Z26" s="1110">
        <f t="shared" si="29"/>
        <v>8207422.9769530213</v>
      </c>
      <c r="AA26" s="1070">
        <f t="shared" si="4"/>
        <v>7544817.7185896998</v>
      </c>
      <c r="AB26" s="1071">
        <f t="shared" si="18"/>
        <v>5905886.6206506304</v>
      </c>
      <c r="AC26" s="1071">
        <f t="shared" si="19"/>
        <v>1638931.0979390689</v>
      </c>
      <c r="AD26" s="1070">
        <f t="shared" si="5"/>
        <v>9059220.3886151742</v>
      </c>
      <c r="AE26" s="1071">
        <f t="shared" si="30"/>
        <v>7091321.5510591101</v>
      </c>
      <c r="AF26" s="1071">
        <f t="shared" si="31"/>
        <v>1967898.8375560644</v>
      </c>
      <c r="AG26" s="1072">
        <f t="shared" si="32"/>
        <v>1297941.688615174</v>
      </c>
      <c r="AH26" s="1072">
        <f t="shared" si="7"/>
        <v>1114616.9185897</v>
      </c>
      <c r="AI26" s="1072">
        <f t="shared" si="33"/>
        <v>951788.24028507341</v>
      </c>
      <c r="AJ26" s="1072">
        <f t="shared" si="33"/>
        <v>162828.67830462614</v>
      </c>
      <c r="AK26" s="1072">
        <f>AA26*$F$4-'[5]СВОД и Численность 061023'!BG26-AH26</f>
        <v>174449.25852208771</v>
      </c>
      <c r="AL26" s="1072">
        <f>AD26-(AA26*$F$4)-('[5]СВОД и Численность 061023'!BH26-'[5]СВОД и Численность 061023'!BG26)</f>
        <v>8875.5115033863112</v>
      </c>
      <c r="AM26" s="1073">
        <f t="shared" si="9"/>
        <v>0</v>
      </c>
      <c r="AN26" s="137"/>
    </row>
    <row r="27" spans="1:77" s="1115" customFormat="1" ht="50.25" customHeight="1" x14ac:dyDescent="0.4">
      <c r="A27" s="1111" t="s">
        <v>444</v>
      </c>
      <c r="B27" s="1074" t="s">
        <v>15</v>
      </c>
      <c r="C27" s="1076">
        <f>'[5]СВОД и Численность 061023'!O27</f>
        <v>37730614.326224007</v>
      </c>
      <c r="D27" s="1077">
        <f>'[5]СВОД и Численность 061023'!P27</f>
        <v>0.26173600000000002</v>
      </c>
      <c r="E27" s="1078">
        <f>'[5]СВОД и Численность 061023'!AD27</f>
        <v>1268.5999999999999</v>
      </c>
      <c r="F27" s="1079">
        <f>'[5]СВОД и Численность 061023'!AJ27</f>
        <v>2411.1999999999998</v>
      </c>
      <c r="G27" s="1090">
        <f t="shared" si="0"/>
        <v>1.9006779126596247</v>
      </c>
      <c r="H27" s="1067">
        <v>1569.2656007202306</v>
      </c>
      <c r="I27" s="1091">
        <f t="shared" si="22"/>
        <v>2668.5</v>
      </c>
      <c r="J27" s="1112">
        <f t="shared" si="23"/>
        <v>2431.9</v>
      </c>
      <c r="K27" s="1112">
        <f t="shared" si="24"/>
        <v>2684</v>
      </c>
      <c r="L27" s="1113">
        <f t="shared" si="1"/>
        <v>2.115718114456882</v>
      </c>
      <c r="M27" s="1091" t="s">
        <v>894</v>
      </c>
      <c r="N27" s="1114">
        <f t="shared" si="25"/>
        <v>631.09784320000006</v>
      </c>
      <c r="O27" s="1114">
        <f t="shared" si="26"/>
        <v>698.44251600000007</v>
      </c>
      <c r="P27" s="1114">
        <f t="shared" si="27"/>
        <v>636.51577840000004</v>
      </c>
      <c r="Q27" s="1114">
        <f t="shared" si="28"/>
        <v>702.49942400000009</v>
      </c>
      <c r="R27" s="1092"/>
      <c r="S27" s="1070">
        <f>'[5]СВОД и Численность 061023'!BF27</f>
        <v>84135496.900000006</v>
      </c>
      <c r="T27" s="1071">
        <f>S27*'[5]СВОД и Численность 061023'!$AH$4</f>
        <v>64821541.64198751</v>
      </c>
      <c r="U27" s="1071">
        <f>S27*'[5]СВОД и Численность 061023'!$AH$5</f>
        <v>19313955.2580125</v>
      </c>
      <c r="V27" s="1222">
        <f>'[5]СВОД и Численность 061023'!BH27</f>
        <v>101551888.90000001</v>
      </c>
      <c r="W27" s="1222">
        <f>V27*'[5]СВОД и Численность 061023'!$AH$4</f>
        <v>78239865.903185025</v>
      </c>
      <c r="X27" s="1222">
        <f>V27*'[5]СВОД и Численность 061023'!$AH$5</f>
        <v>23312022.996814989</v>
      </c>
      <c r="Y27" s="1070">
        <f t="shared" si="29"/>
        <v>120592794.43506636</v>
      </c>
      <c r="Z27" s="1070">
        <f t="shared" si="29"/>
        <v>109900549.66709308</v>
      </c>
      <c r="AA27" s="1070">
        <f t="shared" si="4"/>
        <v>101017028.67315842</v>
      </c>
      <c r="AB27" s="1071">
        <f t="shared" si="18"/>
        <v>79073496.584116921</v>
      </c>
      <c r="AC27" s="1071">
        <f t="shared" si="19"/>
        <v>21943532.089041498</v>
      </c>
      <c r="AD27" s="1070">
        <f t="shared" si="5"/>
        <v>121293258.48368677</v>
      </c>
      <c r="AE27" s="1071">
        <f t="shared" si="30"/>
        <v>94945200.689066559</v>
      </c>
      <c r="AF27" s="1071">
        <f t="shared" si="31"/>
        <v>26348057.794620216</v>
      </c>
      <c r="AG27" s="1072">
        <f t="shared" si="32"/>
        <v>19741369.583686769</v>
      </c>
      <c r="AH27" s="1072">
        <f t="shared" si="7"/>
        <v>16881531.773158416</v>
      </c>
      <c r="AI27" s="1072">
        <f t="shared" si="33"/>
        <v>14251954.942129411</v>
      </c>
      <c r="AJ27" s="1072">
        <f t="shared" si="33"/>
        <v>2629576.8310289979</v>
      </c>
      <c r="AK27" s="1072">
        <f>AA27*$F$4-'[5]СВОД и Численность 061023'!BG27-AH27</f>
        <v>2724064.1919684112</v>
      </c>
      <c r="AL27" s="1072">
        <f>AD27-(AA27*$F$4)-('[5]СВОД и Численность 061023'!BH27-'[5]СВОД и Численность 061023'!BG27)</f>
        <v>135773.61855994165</v>
      </c>
      <c r="AM27" s="1073">
        <f t="shared" si="9"/>
        <v>0</v>
      </c>
      <c r="AN27" s="137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</row>
    <row r="28" spans="1:77" s="1118" customFormat="1" ht="35.25" customHeight="1" x14ac:dyDescent="0.4">
      <c r="A28" s="1116" t="s">
        <v>445</v>
      </c>
      <c r="B28" s="1117" t="s">
        <v>15</v>
      </c>
      <c r="C28" s="1076">
        <f>'[5]СВОД и Численность 061023'!O28</f>
        <v>6494642.9466985362</v>
      </c>
      <c r="D28" s="1077">
        <f>'[5]СВОД и Численность 061023'!P28</f>
        <v>4.505E-2</v>
      </c>
      <c r="E28" s="1078"/>
      <c r="F28" s="1079">
        <f>'[5]СВОД и Численность 061023'!AJ28</f>
        <v>3397.8</v>
      </c>
      <c r="G28" s="1090"/>
      <c r="H28" s="1067">
        <v>2427.6636854408771</v>
      </c>
      <c r="I28" s="1094">
        <f t="shared" si="22"/>
        <v>3760.4</v>
      </c>
      <c r="J28" s="1095">
        <f t="shared" si="23"/>
        <v>3426.9</v>
      </c>
      <c r="K28" s="1095">
        <f t="shared" si="24"/>
        <v>3782.2</v>
      </c>
      <c r="L28" s="1096"/>
      <c r="M28" s="1094" t="s">
        <v>894</v>
      </c>
      <c r="N28" s="1097">
        <f t="shared" si="25"/>
        <v>153.07089000000002</v>
      </c>
      <c r="O28" s="1097">
        <f t="shared" si="26"/>
        <v>169.40602000000001</v>
      </c>
      <c r="P28" s="1097">
        <f t="shared" si="27"/>
        <v>154.381845</v>
      </c>
      <c r="Q28" s="1097">
        <f t="shared" si="28"/>
        <v>170.38810999999998</v>
      </c>
      <c r="R28" s="1098"/>
      <c r="S28" s="1070">
        <f>'[5]СВОД и Численность 061023'!BF28</f>
        <v>20406703.600000001</v>
      </c>
      <c r="T28" s="1071">
        <f>S28*'[5]СВОД и Численность 061023'!$AH$4</f>
        <v>15722186.662251666</v>
      </c>
      <c r="U28" s="1071">
        <f>S28*'[5]СВОД и Численность 061023'!$AH$5</f>
        <v>4684516.9377483362</v>
      </c>
      <c r="V28" s="1222">
        <f>'[5]СВОД и Численность 061023'!BH28</f>
        <v>24630974.800000001</v>
      </c>
      <c r="W28" s="1222">
        <f>V28*'[5]СВОД и Численность 061023'!$AH$4</f>
        <v>18976743.675485976</v>
      </c>
      <c r="X28" s="1222">
        <f>V28*'[5]СВОД и Численность 061023'!$AH$5</f>
        <v>5654231.1245140256</v>
      </c>
      <c r="Y28" s="1110">
        <f t="shared" si="29"/>
        <v>29249572.982642915</v>
      </c>
      <c r="Z28" s="1110">
        <f t="shared" si="29"/>
        <v>26655505.173444051</v>
      </c>
      <c r="AA28" s="1070">
        <f t="shared" si="4"/>
        <v>24501230.898426</v>
      </c>
      <c r="AB28" s="1071">
        <f t="shared" si="18"/>
        <v>19178924.812981963</v>
      </c>
      <c r="AC28" s="1071">
        <f t="shared" si="19"/>
        <v>5322306.0854440387</v>
      </c>
      <c r="AD28" s="1070">
        <f t="shared" si="5"/>
        <v>29419140.233738966</v>
      </c>
      <c r="AE28" s="1071">
        <f t="shared" si="30"/>
        <v>23028536.033334516</v>
      </c>
      <c r="AF28" s="1071">
        <f t="shared" si="31"/>
        <v>6390604.2004044484</v>
      </c>
      <c r="AG28" s="1072">
        <f t="shared" si="32"/>
        <v>4788165.4337389655</v>
      </c>
      <c r="AH28" s="1072">
        <f t="shared" si="7"/>
        <v>4094527.2984259985</v>
      </c>
      <c r="AI28" s="1072">
        <f t="shared" si="33"/>
        <v>3456738.150730297</v>
      </c>
      <c r="AJ28" s="1072">
        <f t="shared" si="33"/>
        <v>637789.1476957025</v>
      </c>
      <c r="AK28" s="1072">
        <f>AA28*$F$4-'[5]СВОД и Численность 061023'!BG28-AH28</f>
        <v>660706.99254748225</v>
      </c>
      <c r="AL28" s="1072">
        <f>AD28-(AA28*$F$4)-('[5]СВОД и Численность 061023'!BH28-'[5]СВОД и Численность 061023'!BG28)</f>
        <v>32931.14276548475</v>
      </c>
      <c r="AM28" s="1073">
        <f t="shared" si="9"/>
        <v>0</v>
      </c>
      <c r="AN28" s="137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</row>
    <row r="29" spans="1:77" s="1118" customFormat="1" ht="27.75" customHeight="1" x14ac:dyDescent="0.4">
      <c r="A29" s="1116" t="s">
        <v>446</v>
      </c>
      <c r="B29" s="1117" t="s">
        <v>15</v>
      </c>
      <c r="C29" s="1076">
        <f>'[5]СВОД и Численность 061023'!O29</f>
        <v>8620634.4371466376</v>
      </c>
      <c r="D29" s="1077">
        <f>'[5]СВОД и Численность 061023'!P29</f>
        <v>5.9799999999999999E-2</v>
      </c>
      <c r="E29" s="1078"/>
      <c r="F29" s="1079">
        <f>'[5]СВОД и Численность 061023'!AJ29</f>
        <v>1282.9000000000001</v>
      </c>
      <c r="G29" s="1090"/>
      <c r="H29" s="1067">
        <v>1710.9966861984817</v>
      </c>
      <c r="I29" s="1094">
        <f t="shared" si="22"/>
        <v>1419.8</v>
      </c>
      <c r="J29" s="1095">
        <f t="shared" si="23"/>
        <v>1293.9000000000001</v>
      </c>
      <c r="K29" s="1095">
        <f t="shared" si="24"/>
        <v>1428</v>
      </c>
      <c r="L29" s="1096"/>
      <c r="M29" s="1094" t="s">
        <v>894</v>
      </c>
      <c r="N29" s="1097">
        <f t="shared" si="25"/>
        <v>76.717420000000004</v>
      </c>
      <c r="O29" s="1097">
        <f t="shared" si="26"/>
        <v>84.904039999999995</v>
      </c>
      <c r="P29" s="1097">
        <f t="shared" si="27"/>
        <v>77.375219999999999</v>
      </c>
      <c r="Q29" s="1097">
        <f t="shared" si="28"/>
        <v>85.394400000000005</v>
      </c>
      <c r="R29" s="1098"/>
      <c r="S29" s="1070">
        <f>'[5]СВОД и Численность 061023'!BF29</f>
        <v>10227341</v>
      </c>
      <c r="T29" s="1071">
        <f>S29*'[5]СВОД и Численность 061023'!$AH$4</f>
        <v>7879575.6243796088</v>
      </c>
      <c r="U29" s="1071">
        <f>S29*'[5]СВОД и Численность 061023'!$AH$5</f>
        <v>2347765.3756203917</v>
      </c>
      <c r="V29" s="1222">
        <f>'[5]СВОД и Численность 061023'!BH29</f>
        <v>12344442.4</v>
      </c>
      <c r="W29" s="1222">
        <f>V29*'[5]СВОД и Численность 061023'!$AH$4</f>
        <v>9510679.9931280389</v>
      </c>
      <c r="X29" s="1222">
        <f>V29*'[5]СВОД и Численность 061023'!$AH$5</f>
        <v>2833762.406871961</v>
      </c>
      <c r="Y29" s="1110">
        <f t="shared" si="29"/>
        <v>14659496.247543229</v>
      </c>
      <c r="Z29" s="1110">
        <f t="shared" si="29"/>
        <v>13359573.316450331</v>
      </c>
      <c r="AA29" s="1070">
        <f t="shared" si="4"/>
        <v>12279424.379040001</v>
      </c>
      <c r="AB29" s="1071">
        <f t="shared" si="18"/>
        <v>9612013.2857257873</v>
      </c>
      <c r="AC29" s="1071">
        <f t="shared" si="19"/>
        <v>2667411.0933142132</v>
      </c>
      <c r="AD29" s="1070">
        <f t="shared" si="5"/>
        <v>14744161.601276048</v>
      </c>
      <c r="AE29" s="1071">
        <f t="shared" si="30"/>
        <v>11541345.328878768</v>
      </c>
      <c r="AF29" s="1071">
        <f t="shared" si="31"/>
        <v>3202816.2723972802</v>
      </c>
      <c r="AG29" s="1072">
        <f t="shared" si="32"/>
        <v>2399719.2012760472</v>
      </c>
      <c r="AH29" s="1072">
        <f t="shared" si="7"/>
        <v>2052083.379040001</v>
      </c>
      <c r="AI29" s="1072">
        <f t="shared" si="33"/>
        <v>1732437.6613461785</v>
      </c>
      <c r="AJ29" s="1072">
        <f t="shared" si="33"/>
        <v>319645.71769382153</v>
      </c>
      <c r="AK29" s="1072">
        <f>AA29*$F$4-'[5]СВОД и Численность 061023'!BG29-AH29</f>
        <v>331131.48977259919</v>
      </c>
      <c r="AL29" s="1072">
        <f>AD29-(AA29*$F$4)-('[5]СВОД и Численность 061023'!BH29-'[5]СВОД и Численность 061023'!BG29)</f>
        <v>16504.332463447005</v>
      </c>
      <c r="AM29" s="1073">
        <f t="shared" si="9"/>
        <v>0</v>
      </c>
      <c r="AN29" s="137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</row>
    <row r="30" spans="1:77" s="1118" customFormat="1" ht="48.75" customHeight="1" x14ac:dyDescent="0.4">
      <c r="A30" s="1116" t="s">
        <v>447</v>
      </c>
      <c r="B30" s="1117" t="s">
        <v>15</v>
      </c>
      <c r="C30" s="1076">
        <f>'[5]СВОД и Численность 061023'!O30</f>
        <v>18049432.928257409</v>
      </c>
      <c r="D30" s="1077">
        <f>'[5]СВОД и Численность 061023'!P30</f>
        <v>0.12520999999999999</v>
      </c>
      <c r="E30" s="1078"/>
      <c r="F30" s="1079">
        <f>'[5]СВОД и Численность 061023'!AJ30</f>
        <v>2852.6</v>
      </c>
      <c r="G30" s="1090"/>
      <c r="H30" s="1067">
        <v>1569.2656007202306</v>
      </c>
      <c r="I30" s="1094">
        <f t="shared" si="22"/>
        <v>3157</v>
      </c>
      <c r="J30" s="1095">
        <f t="shared" si="23"/>
        <v>2877.1</v>
      </c>
      <c r="K30" s="1095">
        <f t="shared" si="24"/>
        <v>3175.3</v>
      </c>
      <c r="L30" s="1096"/>
      <c r="M30" s="1094" t="s">
        <v>894</v>
      </c>
      <c r="N30" s="1097">
        <f t="shared" si="25"/>
        <v>357.17404599999998</v>
      </c>
      <c r="O30" s="1097">
        <f t="shared" si="26"/>
        <v>395.28796999999997</v>
      </c>
      <c r="P30" s="1097">
        <f t="shared" si="27"/>
        <v>360.24169099999995</v>
      </c>
      <c r="Q30" s="1097">
        <f t="shared" si="28"/>
        <v>397.57931299999996</v>
      </c>
      <c r="R30" s="1098"/>
      <c r="S30" s="1070">
        <f>'[5]СВОД и Численность 061023'!BF30</f>
        <v>47616852.5</v>
      </c>
      <c r="T30" s="1071">
        <f>S30*'[5]СВОД и Численность 061023'!$AH$4</f>
        <v>36686035.037716962</v>
      </c>
      <c r="U30" s="1071">
        <f>S30*'[5]СВОД и Численность 061023'!$AH$5</f>
        <v>10930817.462283039</v>
      </c>
      <c r="V30" s="1222">
        <f>'[5]СВОД и Численность 061023'!BH30</f>
        <v>57473735.799999997</v>
      </c>
      <c r="W30" s="1222">
        <f>V30*'[5]СВОД и Численность 061023'!$AH$4</f>
        <v>44280194.397714287</v>
      </c>
      <c r="X30" s="1222">
        <f>V30*'[5]СВОД и Численность 061023'!$AH$5</f>
        <v>13193541.40228571</v>
      </c>
      <c r="Y30" s="1110">
        <f t="shared" si="29"/>
        <v>68250256.559216484</v>
      </c>
      <c r="Z30" s="1110">
        <f t="shared" si="29"/>
        <v>62199180.597567864</v>
      </c>
      <c r="AA30" s="1070">
        <f t="shared" si="4"/>
        <v>57170553.439735793</v>
      </c>
      <c r="AB30" s="1071">
        <f t="shared" si="18"/>
        <v>44751618.826125957</v>
      </c>
      <c r="AC30" s="1071">
        <f t="shared" si="19"/>
        <v>12418934.613609834</v>
      </c>
      <c r="AD30" s="1070">
        <f t="shared" si="5"/>
        <v>68645878.888970584</v>
      </c>
      <c r="AE30" s="1071">
        <f t="shared" si="30"/>
        <v>53734204.43203979</v>
      </c>
      <c r="AF30" s="1071">
        <f t="shared" si="31"/>
        <v>14911674.456930798</v>
      </c>
      <c r="AG30" s="1072">
        <f t="shared" si="32"/>
        <v>11172143.088970587</v>
      </c>
      <c r="AH30" s="1072">
        <f t="shared" si="7"/>
        <v>9553700.9397357926</v>
      </c>
      <c r="AI30" s="1072">
        <f t="shared" si="33"/>
        <v>8065583.7884089947</v>
      </c>
      <c r="AJ30" s="1072">
        <f t="shared" si="33"/>
        <v>1488117.1513267942</v>
      </c>
      <c r="AK30" s="1072">
        <f>AA30*$F$4-'[5]СВОД и Численность 061023'!BG30-AH30</f>
        <v>1541604.5741480887</v>
      </c>
      <c r="AL30" s="1072">
        <f>AD30-(AA30*$F$4)-('[5]СВОД и Численность 061023'!BH30-'[5]СВОД и Численность 061023'!BG30)</f>
        <v>76837.575086705387</v>
      </c>
      <c r="AM30" s="1073">
        <f t="shared" si="9"/>
        <v>0</v>
      </c>
      <c r="AN30" s="137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</row>
    <row r="31" spans="1:77" ht="101.25" x14ac:dyDescent="0.4">
      <c r="A31" s="1119" t="s">
        <v>104</v>
      </c>
      <c r="B31" s="1120" t="s">
        <v>39</v>
      </c>
      <c r="C31" s="1121">
        <f>'[5]СВОД и Численность 061023'!O31</f>
        <v>10560093.333273401</v>
      </c>
      <c r="D31" s="1122">
        <f>'[5]СВОД и Численность 061023'!P31</f>
        <v>7.3254935842921962E-2</v>
      </c>
      <c r="E31" s="1123">
        <f>'[5]СВОД и Численность 061023'!AD31</f>
        <v>25780.5</v>
      </c>
      <c r="F31" s="1123">
        <f>'[5]СВОД и Численность 061023'!AJ31</f>
        <v>28119.5</v>
      </c>
      <c r="G31" s="1124">
        <f t="shared" si="0"/>
        <v>1.0907274878299489</v>
      </c>
      <c r="H31" s="1067">
        <v>30278.699151586876</v>
      </c>
      <c r="I31" s="1123">
        <f>(I32*D32+I33*D33)/D31</f>
        <v>27639.254048974271</v>
      </c>
      <c r="J31" s="1123">
        <f>(J32*D32+J33*D33)/D31</f>
        <v>27194.664295431958</v>
      </c>
      <c r="K31" s="1123">
        <f>(K32*D32+K33*D33)/D31</f>
        <v>28398.154477714535</v>
      </c>
      <c r="L31" s="1124">
        <f t="shared" si="1"/>
        <v>1.1015362183710375</v>
      </c>
      <c r="M31" s="1125" t="s">
        <v>380</v>
      </c>
      <c r="N31" s="1126" t="e">
        <f>+N32+N33</f>
        <v>#REF!</v>
      </c>
      <c r="O31" s="1126">
        <f t="shared" si="26"/>
        <v>2024.7117821038314</v>
      </c>
      <c r="P31" s="1126">
        <f t="shared" si="27"/>
        <v>1992.1433882316687</v>
      </c>
      <c r="Q31" s="1126">
        <f t="shared" si="28"/>
        <v>2080.3049843223653</v>
      </c>
      <c r="R31" s="1125"/>
      <c r="S31" s="1070">
        <f>'[5]СВОД и Численность 061023'!BF31</f>
        <v>294365371.39999998</v>
      </c>
      <c r="T31" s="1071">
        <f>S31*'[5]СВОД и Численность 061023'!$AM$4</f>
        <v>100591407.91762204</v>
      </c>
      <c r="U31" s="1071">
        <f>S31*'[5]СВОД и Численность 061023'!$AM$5</f>
        <v>193773963.48237795</v>
      </c>
      <c r="V31" s="1222">
        <f>'[5]СВОД и Численность 061023'!BH31</f>
        <v>355101229.5</v>
      </c>
      <c r="W31" s="1222">
        <f>V31*'[5]СВОД и Численность 061023'!$AM$4</f>
        <v>121346245.51386218</v>
      </c>
      <c r="X31" s="1222">
        <f>V31*'[5]СВОД и Численность 061023'!$AM$5</f>
        <v>233754983.98613784</v>
      </c>
      <c r="Y31" s="1070">
        <f t="shared" si="29"/>
        <v>349585894.52407306</v>
      </c>
      <c r="Z31" s="1070">
        <f t="shared" si="29"/>
        <v>343962649.17841601</v>
      </c>
      <c r="AA31" s="1070">
        <f t="shared" si="4"/>
        <v>299140783.70860946</v>
      </c>
      <c r="AB31" s="1071">
        <f>AA31*$AH$4</f>
        <v>103914722.43210807</v>
      </c>
      <c r="AC31" s="1071">
        <f>AA31*$AH$5</f>
        <v>195226061.27650139</v>
      </c>
      <c r="AD31" s="1070">
        <f t="shared" si="5"/>
        <v>359184593.70624995</v>
      </c>
      <c r="AE31" s="1071">
        <f>AD31*$AH$4</f>
        <v>124772579.96767175</v>
      </c>
      <c r="AF31" s="1071">
        <f>AD31*$AH$5</f>
        <v>234412013.7385782</v>
      </c>
      <c r="AG31" s="1072">
        <f t="shared" si="32"/>
        <v>4083364.2062499523</v>
      </c>
      <c r="AH31" s="1072">
        <f t="shared" si="7"/>
        <v>4775412.3086094856</v>
      </c>
      <c r="AI31" s="1072">
        <f t="shared" si="33"/>
        <v>3323314.5144860297</v>
      </c>
      <c r="AJ31" s="1072">
        <f t="shared" si="33"/>
        <v>1452097.794123441</v>
      </c>
      <c r="AK31" s="1072">
        <f>AA31*$F$4-'[5]СВОД и Численность 061023'!BG31-AH31</f>
        <v>-901904.58849829435</v>
      </c>
      <c r="AL31" s="1072">
        <f>AD31-(AA31*$F$4)-('[5]СВОД и Численность 061023'!BH31-'[5]СВОД и Численность 061023'!BG31)</f>
        <v>209856.48613876104</v>
      </c>
      <c r="AM31" s="1073">
        <f t="shared" si="9"/>
        <v>0</v>
      </c>
      <c r="AN31" s="137"/>
    </row>
    <row r="32" spans="1:77" s="75" customFormat="1" ht="68.25" customHeight="1" x14ac:dyDescent="0.4">
      <c r="A32" s="1127" t="s">
        <v>105</v>
      </c>
      <c r="B32" s="1128" t="s">
        <v>39</v>
      </c>
      <c r="C32" s="1076">
        <f>'[5]СВОД и Численность 061023'!O32</f>
        <v>400330</v>
      </c>
      <c r="D32" s="1077">
        <f>'[5]СВОД и Численность 061023'!P32</f>
        <v>2.777E-3</v>
      </c>
      <c r="E32" s="1078">
        <f>'[5]СВОД и Численность 061023'!AD32</f>
        <v>47678.6</v>
      </c>
      <c r="F32" s="1079">
        <f>'[5]СВОД и Численность 061023'!AJ32</f>
        <v>57450.2</v>
      </c>
      <c r="G32" s="1090">
        <f t="shared" si="0"/>
        <v>1.2049472929154799</v>
      </c>
      <c r="H32" s="1067">
        <v>52909.450352285232</v>
      </c>
      <c r="I32" s="1129">
        <f>(I35*D35+I38*D38+I43*D43)/D32</f>
        <v>55176.764109778087</v>
      </c>
      <c r="J32" s="1130">
        <f>(J35*D35+J38*D38+J43*D43)/D32</f>
        <v>54289.221200213244</v>
      </c>
      <c r="K32" s="1131">
        <f>(K35*D35+K38*D38+K43*D43)/D32</f>
        <v>56711.127672762479</v>
      </c>
      <c r="L32" s="1132">
        <f t="shared" si="1"/>
        <v>1.1894461597606154</v>
      </c>
      <c r="M32" s="1133" t="s">
        <v>895</v>
      </c>
      <c r="N32" s="1134">
        <f>+F32*D32</f>
        <v>159.53920539999999</v>
      </c>
      <c r="O32" s="1134">
        <f t="shared" si="26"/>
        <v>153.22587393285374</v>
      </c>
      <c r="P32" s="1134">
        <f t="shared" si="27"/>
        <v>150.76116727299217</v>
      </c>
      <c r="Q32" s="1134">
        <f t="shared" si="28"/>
        <v>157.48680154726139</v>
      </c>
      <c r="R32" s="1135"/>
      <c r="S32" s="1070">
        <f>'[5]СВОД и Численность 061023'!BF32</f>
        <v>22999076</v>
      </c>
      <c r="T32" s="1071">
        <f>S32*'[5]СВОД и Численность 061023'!$AM$4</f>
        <v>7859312.4749740558</v>
      </c>
      <c r="U32" s="1071">
        <f>S32*'[5]СВОД и Численность 061023'!$AM$5</f>
        <v>15139763.525025943</v>
      </c>
      <c r="V32" s="1222">
        <f>'[5]СВОД и Численность 061023'!BH32</f>
        <v>27561000.899999999</v>
      </c>
      <c r="W32" s="1222">
        <f>V32*'[5]СВОД и Численность 061023'!$AM$4</f>
        <v>9418226.9842554182</v>
      </c>
      <c r="X32" s="1222">
        <f>V32*'[5]СВОД и Численность 061023'!$AM$5</f>
        <v>18142773.91574458</v>
      </c>
      <c r="Y32" s="1071">
        <f>O32*$D$2*$F$4/1000</f>
        <v>26267534.494148247</v>
      </c>
      <c r="Z32" s="1071">
        <f>P32*$D$2*$F$4/1000</f>
        <v>25845009.462675806</v>
      </c>
      <c r="AA32" s="1070">
        <f t="shared" si="4"/>
        <v>22646066.607370924</v>
      </c>
      <c r="AB32" s="1071">
        <f t="shared" ref="AB32:AB39" si="34">AA32*$AH$4</f>
        <v>7866729.8270377982</v>
      </c>
      <c r="AC32" s="1071">
        <f t="shared" ref="AC32:AC39" si="35">AA32*$AH$5</f>
        <v>14779336.780333126</v>
      </c>
      <c r="AD32" s="1070">
        <f>Q32*$D$2*$F$4/1000</f>
        <v>26997985.952611249</v>
      </c>
      <c r="AE32" s="1071">
        <f t="shared" ref="AE32:AE39" si="36">AD32*$AH$4</f>
        <v>9378487.8869086374</v>
      </c>
      <c r="AF32" s="1071">
        <f t="shared" ref="AF32:AF39" si="37">AD32*$AH$5</f>
        <v>17619498.06570261</v>
      </c>
      <c r="AG32" s="1072">
        <f t="shared" si="32"/>
        <v>-563014.94738874957</v>
      </c>
      <c r="AH32" s="1072">
        <f t="shared" si="7"/>
        <v>-353009.3926290758</v>
      </c>
      <c r="AI32" s="1072">
        <f t="shared" si="33"/>
        <v>7417.3520637424663</v>
      </c>
      <c r="AJ32" s="1072">
        <f t="shared" si="33"/>
        <v>-360426.74469281733</v>
      </c>
      <c r="AK32" s="1072">
        <f>AA32*$F$4-'[5]СВОД и Численность 061023'!BG32-AH32</f>
        <v>-210005.5547596775</v>
      </c>
      <c r="AL32" s="1072">
        <f>AD32-(AA32*$F$4)-('[5]СВОД и Численность 061023'!BH32-'[5]СВОД и Численность 061023'!BG32)</f>
        <v>3.7252902984619141E-9</v>
      </c>
      <c r="AM32" s="1073">
        <f t="shared" si="9"/>
        <v>0</v>
      </c>
      <c r="AN32" s="137"/>
    </row>
    <row r="33" spans="1:77" s="75" customFormat="1" ht="102" x14ac:dyDescent="0.4">
      <c r="A33" s="1127" t="s">
        <v>439</v>
      </c>
      <c r="B33" s="1128" t="s">
        <v>39</v>
      </c>
      <c r="C33" s="1076">
        <f>'[5]СВОД и Численность 061023'!O33</f>
        <v>10159763.333273401</v>
      </c>
      <c r="D33" s="1077">
        <f>'[5]СВОД и Численность 061023'!P33</f>
        <v>7.047793584292196E-2</v>
      </c>
      <c r="E33" s="1078">
        <f>'[5]СВОД и Численность 061023'!AD33</f>
        <v>25048.5</v>
      </c>
      <c r="F33" s="1079">
        <f>'[5]СВОД и Численность 061023'!AJ33</f>
        <v>27321.1</v>
      </c>
      <c r="G33" s="1090">
        <f t="shared" si="0"/>
        <v>1.0907279877038545</v>
      </c>
      <c r="H33" s="1067">
        <v>29238.381828473342</v>
      </c>
      <c r="I33" s="1129">
        <f>(I36*D36+I39*D39+I41*D41+I44*D44)/D33</f>
        <v>26554.209991933654</v>
      </c>
      <c r="J33" s="1129">
        <f>(J36*D36+J39*D39+J41*D41+J44*D44)/D33</f>
        <v>26127.073656962173</v>
      </c>
      <c r="K33" s="1129">
        <f>(K36*D36+K39*D39+K41*D41+K44*D44)/D33</f>
        <v>27282.555310084477</v>
      </c>
      <c r="L33" s="1136">
        <f t="shared" si="1"/>
        <v>1.0891891853837345</v>
      </c>
      <c r="M33" s="1133" t="s">
        <v>896</v>
      </c>
      <c r="N33" s="1134" t="e">
        <f>+#REF!+#REF!</f>
        <v>#REF!</v>
      </c>
      <c r="O33" s="1134">
        <f t="shared" si="26"/>
        <v>1871.4859081709774</v>
      </c>
      <c r="P33" s="1134">
        <f t="shared" si="27"/>
        <v>1841.3822209586765</v>
      </c>
      <c r="Q33" s="1134">
        <f t="shared" si="28"/>
        <v>1922.8181827751037</v>
      </c>
      <c r="R33" s="1135"/>
      <c r="S33" s="1070">
        <f>'[5]СВОД и Численность 061023'!BF33</f>
        <v>271366295.39999998</v>
      </c>
      <c r="T33" s="1071">
        <f>S33*'[5]СВОД и Численность 061023'!$AM$4</f>
        <v>92732095.442647979</v>
      </c>
      <c r="U33" s="1071">
        <f>S33*'[5]СВОД и Численность 061023'!$AM$5</f>
        <v>178634199.95735198</v>
      </c>
      <c r="V33" s="1222">
        <f>'[5]СВОД и Численность 061023'!BH33</f>
        <v>327540228.60000002</v>
      </c>
      <c r="W33" s="1222">
        <f>V33*'[5]СВОД и Численность 061023'!$AM$4</f>
        <v>111928018.52960676</v>
      </c>
      <c r="X33" s="1222">
        <f>V33*'[5]СВОД и Численность 061023'!$AM$5</f>
        <v>215612210.07039326</v>
      </c>
      <c r="Y33" s="1071">
        <f t="shared" ref="Y33:Z34" si="38">O33*$D$2*$F$3*$F$4/1000</f>
        <v>323129978.83448744</v>
      </c>
      <c r="Z33" s="1071">
        <f t="shared" si="38"/>
        <v>317932288.71602029</v>
      </c>
      <c r="AA33" s="1070">
        <f t="shared" si="4"/>
        <v>276494717.10123849</v>
      </c>
      <c r="AB33" s="1071">
        <f t="shared" si="34"/>
        <v>96047992.605070248</v>
      </c>
      <c r="AC33" s="1071">
        <f t="shared" si="35"/>
        <v>180446724.49616823</v>
      </c>
      <c r="AD33" s="1070">
        <f t="shared" si="5"/>
        <v>331992988.02624142</v>
      </c>
      <c r="AE33" s="1071">
        <f t="shared" si="36"/>
        <v>115326832.97961204</v>
      </c>
      <c r="AF33" s="1071">
        <f t="shared" si="37"/>
        <v>216666155.04662937</v>
      </c>
      <c r="AG33" s="1072">
        <f t="shared" si="32"/>
        <v>4452759.4262413979</v>
      </c>
      <c r="AH33" s="1072">
        <f t="shared" si="7"/>
        <v>5128421.701238513</v>
      </c>
      <c r="AI33" s="1072">
        <f t="shared" si="33"/>
        <v>3315897.1624222696</v>
      </c>
      <c r="AJ33" s="1072">
        <f t="shared" si="33"/>
        <v>1812524.5388162434</v>
      </c>
      <c r="AK33" s="1072">
        <f>AA33*$F$4-'[5]СВОД и Численность 061023'!BG33-AH33</f>
        <v>-691899.03373861313</v>
      </c>
      <c r="AL33" s="1072">
        <f>AD33-(AA33*$F$4)-('[5]СВОД и Численность 061023'!BH33-'[5]СВОД и Численность 061023'!BG33)</f>
        <v>16236.758741497993</v>
      </c>
      <c r="AM33" s="1073">
        <f t="shared" si="9"/>
        <v>0</v>
      </c>
      <c r="AN33" s="137"/>
    </row>
    <row r="34" spans="1:77" ht="40.5" x14ac:dyDescent="0.4">
      <c r="A34" s="1141" t="s">
        <v>107</v>
      </c>
      <c r="B34" s="1142" t="s">
        <v>39</v>
      </c>
      <c r="C34" s="1076">
        <f>'[5]СВОД и Численность 061023'!O36</f>
        <v>1690435.9855760003</v>
      </c>
      <c r="D34" s="1077">
        <f>'[5]СВОД и Численность 061023'!P36</f>
        <v>1.1726000000000002E-2</v>
      </c>
      <c r="E34" s="1078">
        <f>'[5]СВОД и Численность 061023'!AD36</f>
        <v>77506.3</v>
      </c>
      <c r="F34" s="1079">
        <f>'[5]СВОД и Численность 061023'!AJ36</f>
        <v>84538.2</v>
      </c>
      <c r="G34" s="1090">
        <f t="shared" si="0"/>
        <v>1.0907268183360577</v>
      </c>
      <c r="H34" s="1067">
        <v>71420.571026123609</v>
      </c>
      <c r="I34" s="1109">
        <f>(I35*D35+I36*D36)/D34</f>
        <v>74788.007462429901</v>
      </c>
      <c r="J34" s="1102">
        <f>(J35*D35+J36*D36)/D34</f>
        <v>73585.008939143925</v>
      </c>
      <c r="K34" s="1102">
        <f>(K35*D35+K36*D36)/D34</f>
        <v>76867.723361866301</v>
      </c>
      <c r="L34" s="1103">
        <f t="shared" si="1"/>
        <v>0.99176097119674522</v>
      </c>
      <c r="M34" s="1094"/>
      <c r="N34" s="1105">
        <f>+N35+N36</f>
        <v>999.6847650000002</v>
      </c>
      <c r="O34" s="1105">
        <f t="shared" si="26"/>
        <v>876.96417550445312</v>
      </c>
      <c r="P34" s="1105">
        <f t="shared" si="27"/>
        <v>862.85781482040181</v>
      </c>
      <c r="Q34" s="1105">
        <f t="shared" si="28"/>
        <v>901.35092414124438</v>
      </c>
      <c r="R34" s="1098"/>
      <c r="S34" s="1070">
        <f>'[5]СВОД и Численность 061023'!BF36</f>
        <v>133053435.7</v>
      </c>
      <c r="T34" s="1071">
        <f>S34*'[5]СВОД и Численность 061023'!$AM$4</f>
        <v>45467414.735929757</v>
      </c>
      <c r="U34" s="1071">
        <f>S34*'[5]СВОД и Численность 061023'!$AM$5</f>
        <v>87586020.964070246</v>
      </c>
      <c r="V34" s="1222">
        <f>'[5]СВОД и Численность 061023'!BH36</f>
        <v>160501758.90000001</v>
      </c>
      <c r="W34" s="1222">
        <f>V34*'[5]СВОД и Численность 061023'!$AM$4</f>
        <v>54847137.162295051</v>
      </c>
      <c r="X34" s="1222">
        <f>V34*'[5]СВОД и Численность 061023'!$AM$5</f>
        <v>105654621.73770495</v>
      </c>
      <c r="Y34" s="1110">
        <f t="shared" si="38"/>
        <v>151416269.9447208</v>
      </c>
      <c r="Z34" s="1110">
        <f t="shared" si="38"/>
        <v>148980671.57373229</v>
      </c>
      <c r="AA34" s="1070">
        <f t="shared" si="4"/>
        <v>129611198.29836887</v>
      </c>
      <c r="AB34" s="1071">
        <f t="shared" si="34"/>
        <v>45023990.136990093</v>
      </c>
      <c r="AC34" s="1071">
        <f t="shared" si="35"/>
        <v>84587208.161378786</v>
      </c>
      <c r="AD34" s="1070">
        <f t="shared" si="5"/>
        <v>155626875.8255578</v>
      </c>
      <c r="AE34" s="1071">
        <f t="shared" si="36"/>
        <v>54061246.359981202</v>
      </c>
      <c r="AF34" s="1071">
        <f t="shared" si="37"/>
        <v>101565629.46557659</v>
      </c>
      <c r="AG34" s="1072">
        <f t="shared" si="32"/>
        <v>-4874883.0744422078</v>
      </c>
      <c r="AH34" s="1072">
        <f t="shared" si="7"/>
        <v>-3442237.4016311318</v>
      </c>
      <c r="AI34" s="1072">
        <f t="shared" si="33"/>
        <v>-443424.59893966466</v>
      </c>
      <c r="AJ34" s="1072">
        <f t="shared" si="33"/>
        <v>-2998812.8026914597</v>
      </c>
      <c r="AK34" s="1072">
        <f>AA34*$F$4-'[5]СВОД и Численность 061023'!BG36-AH34</f>
        <v>-1483959.91162844</v>
      </c>
      <c r="AL34" s="1072">
        <f>AD34-(AA34*$F$4)-('[5]СВОД и Численность 061023'!BH36-'[5]СВОД и Численность 061023'!BG36)</f>
        <v>51314.238817363977</v>
      </c>
      <c r="AM34" s="1073">
        <f t="shared" si="9"/>
        <v>0</v>
      </c>
      <c r="AN34" s="137"/>
    </row>
    <row r="35" spans="1:77" s="76" customFormat="1" ht="98.25" customHeight="1" x14ac:dyDescent="0.4">
      <c r="A35" s="1137" t="s">
        <v>108</v>
      </c>
      <c r="B35" s="1138" t="s">
        <v>39</v>
      </c>
      <c r="C35" s="1076">
        <f>'[5]СВОД и Численность 061023'!O37</f>
        <v>109918</v>
      </c>
      <c r="D35" s="1077">
        <f>'[5]СВОД и Численность 061023'!P37</f>
        <v>7.6199999999999998E-4</v>
      </c>
      <c r="E35" s="1078">
        <f>'[5]СВОД и Численность 061023'!AD37</f>
        <v>83937.5</v>
      </c>
      <c r="F35" s="1079">
        <f>'[5]СВОД и Численность 061023'!AJ37</f>
        <v>99208.9</v>
      </c>
      <c r="G35" s="1090">
        <f t="shared" si="0"/>
        <v>1.1819377513030529</v>
      </c>
      <c r="H35" s="1067">
        <v>81062.687952008971</v>
      </c>
      <c r="I35" s="1143">
        <f>H35*$O$4*$AH$4+H35*$AH$5</f>
        <v>84784.169867158023</v>
      </c>
      <c r="J35" s="1139">
        <f>H35*$AH$4+H35*$O$5*$AH$5</f>
        <v>83420.37860424121</v>
      </c>
      <c r="K35" s="1144">
        <f>H35*$O$4*$AH$4+H35*$O$5*$AH$5</f>
        <v>87141.860519390248</v>
      </c>
      <c r="L35" s="1145">
        <f t="shared" si="1"/>
        <v>1.0381755534700252</v>
      </c>
      <c r="M35" s="1146" t="s">
        <v>895</v>
      </c>
      <c r="N35" s="1147">
        <f>+F35*D35</f>
        <v>75.597181799999987</v>
      </c>
      <c r="O35" s="1147">
        <f t="shared" si="26"/>
        <v>64.605537438774405</v>
      </c>
      <c r="P35" s="1147">
        <f t="shared" si="27"/>
        <v>63.566328496431801</v>
      </c>
      <c r="Q35" s="1147">
        <f t="shared" si="28"/>
        <v>66.402097715775369</v>
      </c>
      <c r="R35" s="1148"/>
      <c r="S35" s="1070">
        <f>'[5]СВОД и Численность 061023'!BF37</f>
        <v>10897729.4</v>
      </c>
      <c r="T35" s="1071">
        <f>S35*'[5]СВОД и Численность 061023'!$AM$4</f>
        <v>3724004.4174953611</v>
      </c>
      <c r="U35" s="1071">
        <f>S35*'[5]СВОД и Численность 061023'!$AM$5</f>
        <v>7173724.9825046398</v>
      </c>
      <c r="V35" s="1222">
        <f>'[5]СВОД и Численность 061023'!BH37</f>
        <v>13059321.6</v>
      </c>
      <c r="W35" s="1222">
        <f>V35*'[5]СВОД и Численность 061023'!$AM$4</f>
        <v>4462670.1162071964</v>
      </c>
      <c r="X35" s="1222">
        <f>V35*'[5]СВОД и Численность 061023'!$AM$5</f>
        <v>8596651.4837928023</v>
      </c>
      <c r="Y35" s="1149">
        <f>O35*$D$2*$F$4/1000</f>
        <v>11075336.949487133</v>
      </c>
      <c r="Z35" s="1149">
        <f>P35*$D$2*$F$4/1000</f>
        <v>10897185.205013651</v>
      </c>
      <c r="AA35" s="1070">
        <f t="shared" si="4"/>
        <v>9548395.8843962643</v>
      </c>
      <c r="AB35" s="1071">
        <f t="shared" si="34"/>
        <v>3316896.1306373822</v>
      </c>
      <c r="AC35" s="1071">
        <f t="shared" si="35"/>
        <v>6231499.7537588822</v>
      </c>
      <c r="AD35" s="1070">
        <f>Q35*$D$2*$F$4/1000</f>
        <v>11383321.546576913</v>
      </c>
      <c r="AE35" s="1071">
        <f t="shared" si="36"/>
        <v>3954307.6814969601</v>
      </c>
      <c r="AF35" s="1071">
        <f t="shared" si="37"/>
        <v>7429013.8650799533</v>
      </c>
      <c r="AG35" s="1072">
        <f t="shared" si="32"/>
        <v>-1676000.0534230862</v>
      </c>
      <c r="AH35" s="1072">
        <f t="shared" si="7"/>
        <v>-1349333.515603736</v>
      </c>
      <c r="AI35" s="1072">
        <f t="shared" si="33"/>
        <v>-407108.28685797891</v>
      </c>
      <c r="AJ35" s="1072">
        <f t="shared" si="33"/>
        <v>-942225.2287457576</v>
      </c>
      <c r="AK35" s="1072">
        <f>AA35*$F$4-'[5]СВОД и Численность 061023'!BG37-AH35</f>
        <v>-326666.53781935014</v>
      </c>
      <c r="AL35" s="1072">
        <f>AD35-(AA35*$F$4)-('[5]СВОД и Численность 061023'!BH37-'[5]СВОД и Численность 061023'!BG37)</f>
        <v>0</v>
      </c>
      <c r="AM35" s="1073">
        <f t="shared" si="9"/>
        <v>0</v>
      </c>
      <c r="AN35" s="137"/>
    </row>
    <row r="36" spans="1:77" s="1152" customFormat="1" ht="60.75" x14ac:dyDescent="0.4">
      <c r="A36" s="1150" t="s">
        <v>109</v>
      </c>
      <c r="B36" s="1151" t="s">
        <v>39</v>
      </c>
      <c r="C36" s="1076">
        <f>'[5]СВОД и Численность 061023'!O39</f>
        <v>1580517.9855760003</v>
      </c>
      <c r="D36" s="1077">
        <f>'[5]СВОД и Численность 061023'!P39</f>
        <v>1.0964000000000002E-2</v>
      </c>
      <c r="E36" s="1078">
        <f>'[5]СВОД и Численность 061023'!AD39</f>
        <v>77273.100000000006</v>
      </c>
      <c r="F36" s="1079">
        <f>'[5]СВОД и Численность 061023'!AJ39</f>
        <v>84283.8</v>
      </c>
      <c r="G36" s="1090">
        <f t="shared" si="0"/>
        <v>1.0907262682615295</v>
      </c>
      <c r="H36" s="1067">
        <v>70841.052349888676</v>
      </c>
      <c r="I36" s="1143">
        <f>H36*$O$4*$AH$4+H36*$AH$5</f>
        <v>74093.272351849562</v>
      </c>
      <c r="J36" s="1139">
        <f>H36*$AH$4+H36*$O$5*$AH$5</f>
        <v>72901.448953298968</v>
      </c>
      <c r="K36" s="1139">
        <f>H36*$O$4*$AH$4+H36*$O$5*$AH$5</f>
        <v>76153.66895525984</v>
      </c>
      <c r="L36" s="1140">
        <f t="shared" si="1"/>
        <v>0.98551331518031282</v>
      </c>
      <c r="M36" s="1146" t="s">
        <v>895</v>
      </c>
      <c r="N36" s="1147">
        <f>+F36*D36</f>
        <v>924.08758320000015</v>
      </c>
      <c r="O36" s="1147">
        <f t="shared" si="26"/>
        <v>812.35863806567875</v>
      </c>
      <c r="P36" s="1147">
        <f t="shared" si="27"/>
        <v>799.29148632397005</v>
      </c>
      <c r="Q36" s="1147">
        <f t="shared" si="28"/>
        <v>834.94882642546895</v>
      </c>
      <c r="R36" s="1148"/>
      <c r="S36" s="1070">
        <f>'[5]СВОД и Численность 061023'!BF39</f>
        <v>122155706.3</v>
      </c>
      <c r="T36" s="1071">
        <f>S36*'[5]СВОД и Численность 061023'!$AM$4</f>
        <v>41743410.318434395</v>
      </c>
      <c r="U36" s="1071">
        <f>S36*'[5]СВОД и Численность 061023'!$AM$5</f>
        <v>80412295.981565595</v>
      </c>
      <c r="V36" s="1222">
        <f>'[5]СВОД и Численность 061023'!BH39</f>
        <v>147442437.30000001</v>
      </c>
      <c r="W36" s="1222">
        <f>V36*'[5]СВОД и Численность 061023'!$AM$4</f>
        <v>50384467.046087861</v>
      </c>
      <c r="X36" s="1222">
        <f>V36*'[5]СВОД и Численность 061023'!$AM$5</f>
        <v>97057970.253912151</v>
      </c>
      <c r="Y36" s="1149">
        <f t="shared" ref="Y36:Z37" si="39">O36*$D$2*$F$3*$F$4/1000</f>
        <v>140261504.7102958</v>
      </c>
      <c r="Z36" s="1149">
        <f t="shared" si="39"/>
        <v>138005335.72324106</v>
      </c>
      <c r="AA36" s="1070">
        <f t="shared" si="4"/>
        <v>120062802.4139726</v>
      </c>
      <c r="AB36" s="1071">
        <f t="shared" si="34"/>
        <v>41707094.006352708</v>
      </c>
      <c r="AC36" s="1071">
        <f t="shared" si="35"/>
        <v>78355708.407619894</v>
      </c>
      <c r="AD36" s="1070">
        <f t="shared" si="5"/>
        <v>144161917.24062583</v>
      </c>
      <c r="AE36" s="1071">
        <f t="shared" si="36"/>
        <v>50078579.823246673</v>
      </c>
      <c r="AF36" s="1071">
        <f t="shared" si="37"/>
        <v>94083337.417379156</v>
      </c>
      <c r="AG36" s="1072">
        <f t="shared" si="32"/>
        <v>-3280520.0593741834</v>
      </c>
      <c r="AH36" s="1072">
        <f t="shared" si="7"/>
        <v>-2092903.8860273957</v>
      </c>
      <c r="AI36" s="1072">
        <f t="shared" si="33"/>
        <v>-36316.312081687152</v>
      </c>
      <c r="AJ36" s="1072">
        <f t="shared" si="33"/>
        <v>-2056587.5739457011</v>
      </c>
      <c r="AK36" s="1072">
        <f>AA36*$F$4-'[5]СВОД и Численность 061023'!BG39-AH36</f>
        <v>-1157293.373809129</v>
      </c>
      <c r="AL36" s="1072">
        <f>AD36-(AA36*$F$4)-('[5]СВОД и Численность 061023'!BH39-'[5]СВОД и Численность 061023'!BG39)</f>
        <v>-30322.799537658691</v>
      </c>
      <c r="AM36" s="1073">
        <f t="shared" si="9"/>
        <v>0</v>
      </c>
      <c r="AN36" s="137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</row>
    <row r="37" spans="1:77" ht="60.75" x14ac:dyDescent="0.4">
      <c r="A37" s="1141" t="s">
        <v>434</v>
      </c>
      <c r="B37" s="1142" t="s">
        <v>39</v>
      </c>
      <c r="C37" s="1076">
        <f>'[5]СВОД и Численность 061023'!O41</f>
        <v>91477.931039999996</v>
      </c>
      <c r="D37" s="1077">
        <f>'[5]СВОД и Численность 061023'!P41</f>
        <v>6.3499999999999993E-4</v>
      </c>
      <c r="E37" s="1078">
        <f>'[5]СВОД и Численность 061023'!AD41</f>
        <v>127328.6</v>
      </c>
      <c r="F37" s="1079">
        <f>'[5]СВОД и Численность 061023'!AJ41</f>
        <v>138880.70000000001</v>
      </c>
      <c r="G37" s="1090">
        <f t="shared" si="0"/>
        <v>1.0907266709914347</v>
      </c>
      <c r="H37" s="1067">
        <v>102593.68275163416</v>
      </c>
      <c r="I37" s="1109">
        <f>(I38*D38+I39*D39)/D37</f>
        <v>107282.32999416966</v>
      </c>
      <c r="J37" s="1102">
        <f>(J38*D38+J39*D39)/D37</f>
        <v>105556.64577103402</v>
      </c>
      <c r="K37" s="1102">
        <f>(K38*D38+K39*D39)/D37</f>
        <v>110265.6527886637</v>
      </c>
      <c r="L37" s="1103">
        <f t="shared" si="1"/>
        <v>0.86599281535070438</v>
      </c>
      <c r="M37" s="1094" t="s">
        <v>438</v>
      </c>
      <c r="N37" s="1105">
        <f>+N38+N39</f>
        <v>68.829926</v>
      </c>
      <c r="O37" s="1105">
        <f t="shared" si="26"/>
        <v>68.124279546297728</v>
      </c>
      <c r="P37" s="1105">
        <f t="shared" si="27"/>
        <v>67.028470064606594</v>
      </c>
      <c r="Q37" s="1105">
        <f t="shared" si="28"/>
        <v>70.018689520801445</v>
      </c>
      <c r="R37" s="1098"/>
      <c r="S37" s="1070">
        <f>'[5]СВОД и Численность 061023'!BF41</f>
        <v>9925198</v>
      </c>
      <c r="T37" s="1071">
        <f>S37*'[5]СВОД и Численность 061023'!$AM$4</f>
        <v>3391668.102578884</v>
      </c>
      <c r="U37" s="1071">
        <f>S37*'[5]СВОД и Численность 061023'!$AM$5</f>
        <v>6533529.897421116</v>
      </c>
      <c r="V37" s="1222">
        <f>'[5]СВОД и Численность 061023'!BH41</f>
        <v>11969612.6</v>
      </c>
      <c r="W37" s="1222">
        <f>V37*'[5]СВОД и Численность 061023'!$AM$4</f>
        <v>4090291.5242241314</v>
      </c>
      <c r="X37" s="1222">
        <f>V37*'[5]СВОД и Численность 061023'!$AM$5</f>
        <v>7879321.0757758683</v>
      </c>
      <c r="Y37" s="1110">
        <f t="shared" si="39"/>
        <v>11762309.783792825</v>
      </c>
      <c r="Z37" s="1110">
        <f t="shared" si="39"/>
        <v>11573107.774266854</v>
      </c>
      <c r="AA37" s="1070">
        <f t="shared" si="4"/>
        <v>10068449.489546876</v>
      </c>
      <c r="AB37" s="1071">
        <f t="shared" si="34"/>
        <v>3497550.9559643231</v>
      </c>
      <c r="AC37" s="1071">
        <f t="shared" si="35"/>
        <v>6570898.5335825533</v>
      </c>
      <c r="AD37" s="1070">
        <f t="shared" si="5"/>
        <v>12089397.822389644</v>
      </c>
      <c r="AE37" s="1071">
        <f t="shared" si="36"/>
        <v>4199582.5627998291</v>
      </c>
      <c r="AF37" s="1071">
        <f t="shared" si="37"/>
        <v>7889815.2595898146</v>
      </c>
      <c r="AG37" s="1072">
        <f t="shared" si="32"/>
        <v>119785.22238964401</v>
      </c>
      <c r="AH37" s="1072">
        <f t="shared" si="7"/>
        <v>143251.4895468764</v>
      </c>
      <c r="AI37" s="1072">
        <f t="shared" si="33"/>
        <v>105882.85338543914</v>
      </c>
      <c r="AJ37" s="1072">
        <f t="shared" si="33"/>
        <v>37368.636161437258</v>
      </c>
      <c r="AK37" s="1072">
        <f>AA37*$F$4-'[5]СВОД и Численность 061023'!BG41-AH37</f>
        <v>-33823.168715538457</v>
      </c>
      <c r="AL37" s="1072">
        <f>AD37-(AA37*$F$4)-('[5]СВОД и Численность 061023'!BH41-'[5]СВОД и Численность 061023'!BG41)</f>
        <v>10356.901558306068</v>
      </c>
      <c r="AM37" s="1073">
        <f t="shared" si="9"/>
        <v>0</v>
      </c>
      <c r="AN37" s="137"/>
    </row>
    <row r="38" spans="1:77" s="76" customFormat="1" ht="99" customHeight="1" x14ac:dyDescent="0.4">
      <c r="A38" s="1137" t="s">
        <v>108</v>
      </c>
      <c r="B38" s="1138" t="s">
        <v>39</v>
      </c>
      <c r="C38" s="1076">
        <f>'[5]СВОД и Численность 061023'!O42</f>
        <v>10751</v>
      </c>
      <c r="D38" s="1077">
        <f>'[5]СВОД и Численность 061023'!P42</f>
        <v>7.4999999999999993E-5</v>
      </c>
      <c r="E38" s="1078">
        <f>'[5]СВОД и Численность 061023'!AD42</f>
        <v>151989.9</v>
      </c>
      <c r="F38" s="1079">
        <f>'[5]СВОД и Численность 061023'!AJ42</f>
        <v>111208.4</v>
      </c>
      <c r="G38" s="1090">
        <f t="shared" si="0"/>
        <v>0.73168282892481673</v>
      </c>
      <c r="H38" s="1067">
        <v>112328.14945553642</v>
      </c>
      <c r="I38" s="1143">
        <f t="shared" ref="I38:I39" si="40">H38*$O$4*$AH$4+H38*$AH$5</f>
        <v>117484.98779043619</v>
      </c>
      <c r="J38" s="1139">
        <f>H38*$AH$4+H38*$O$5*$AH$5</f>
        <v>115595.18925701268</v>
      </c>
      <c r="K38" s="1144">
        <f>H38*$O$4*$AH$4+H38*$O$5*$AH$5</f>
        <v>120752.02759191245</v>
      </c>
      <c r="L38" s="1145">
        <f t="shared" si="1"/>
        <v>0.79447402486554997</v>
      </c>
      <c r="M38" s="1146" t="s">
        <v>895</v>
      </c>
      <c r="N38" s="1147">
        <f>+F38*D38</f>
        <v>8.3406299999999991</v>
      </c>
      <c r="O38" s="1147">
        <f t="shared" si="26"/>
        <v>8.8113740842827131</v>
      </c>
      <c r="P38" s="1147">
        <f t="shared" si="27"/>
        <v>8.6696391942759501</v>
      </c>
      <c r="Q38" s="1147">
        <f t="shared" si="28"/>
        <v>9.0564020693934335</v>
      </c>
      <c r="R38" s="1148"/>
      <c r="S38" s="1070">
        <f>'[5]СВОД и Численность 061023'!BF42</f>
        <v>1172267.5</v>
      </c>
      <c r="T38" s="1071">
        <f>S38*'[5]СВОД и Численность 061023'!$AM$4</f>
        <v>400590.72750386357</v>
      </c>
      <c r="U38" s="1071">
        <f>S38*'[5]СВОД и Численность 061023'!$AM$5</f>
        <v>771676.77249613637</v>
      </c>
      <c r="V38" s="1222">
        <f>'[5]СВОД и Численность 061023'!BH42</f>
        <v>1404789.7</v>
      </c>
      <c r="W38" s="1222">
        <f>V38*'[5]СВОД и Численность 061023'!$AM$4</f>
        <v>480048.90343964519</v>
      </c>
      <c r="X38" s="1222">
        <f>V38*'[5]СВОД и Численность 061023'!$AM$5</f>
        <v>924740.79656035476</v>
      </c>
      <c r="Y38" s="1149">
        <f>O38*$D$2*$F$4/1000</f>
        <v>1510535.1776369496</v>
      </c>
      <c r="Z38" s="1149">
        <f>P38*$D$2*$F$4/1000</f>
        <v>1486237.5442365455</v>
      </c>
      <c r="AA38" s="1070">
        <f t="shared" si="4"/>
        <v>1302279.8258117398</v>
      </c>
      <c r="AB38" s="1071">
        <f t="shared" si="34"/>
        <v>452382.47005457123</v>
      </c>
      <c r="AC38" s="1071">
        <f t="shared" si="35"/>
        <v>849897.35575716861</v>
      </c>
      <c r="AD38" s="1070">
        <f>Q38*$D$2*$F$4/1000</f>
        <v>1552540.3617858612</v>
      </c>
      <c r="AE38" s="1071">
        <f t="shared" si="36"/>
        <v>539317.30324265768</v>
      </c>
      <c r="AF38" s="1071">
        <f t="shared" si="37"/>
        <v>1013223.0585432035</v>
      </c>
      <c r="AG38" s="1072">
        <f t="shared" si="32"/>
        <v>147750.66178586124</v>
      </c>
      <c r="AH38" s="1072">
        <f t="shared" si="7"/>
        <v>130012.32581173978</v>
      </c>
      <c r="AI38" s="1072">
        <f t="shared" si="33"/>
        <v>51791.742550707655</v>
      </c>
      <c r="AJ38" s="1072">
        <f t="shared" si="33"/>
        <v>78220.58326103224</v>
      </c>
      <c r="AK38" s="1072">
        <f>AA38*$F$4-'[5]СВОД и Численность 061023'!BG42-AH38</f>
        <v>17738.335974121699</v>
      </c>
      <c r="AL38" s="1072">
        <f>AD38-(AA38*$F$4)-('[5]СВОД и Численность 061023'!BH42-'[5]СВОД и Численность 061023'!BG42)</f>
        <v>-2.3283064365386963E-10</v>
      </c>
      <c r="AM38" s="1073">
        <f t="shared" si="9"/>
        <v>0</v>
      </c>
      <c r="AN38" s="137"/>
    </row>
    <row r="39" spans="1:77" s="76" customFormat="1" ht="60.75" x14ac:dyDescent="0.4">
      <c r="A39" s="1137" t="s">
        <v>109</v>
      </c>
      <c r="B39" s="1138" t="s">
        <v>39</v>
      </c>
      <c r="C39" s="1076">
        <f>'[5]СВОД и Численность 061023'!O43</f>
        <v>80726.931039999996</v>
      </c>
      <c r="D39" s="1077">
        <f>'[5]СВОД и Численность 061023'!P43</f>
        <v>5.5999999999999995E-4</v>
      </c>
      <c r="E39" s="1078">
        <f>'[5]СВОД и Численность 061023'!AD43</f>
        <v>124728.5</v>
      </c>
      <c r="F39" s="1079">
        <f>'[5]СВОД и Численность 061023'!AJ43</f>
        <v>108016.6</v>
      </c>
      <c r="G39" s="1090">
        <f t="shared" si="0"/>
        <v>0.86601378193436152</v>
      </c>
      <c r="H39" s="1067">
        <v>101266.87300167438</v>
      </c>
      <c r="I39" s="1143">
        <f t="shared" si="40"/>
        <v>105915.9026107411</v>
      </c>
      <c r="J39" s="1139">
        <f>H39*$AH$4+H39*$O$5*$AH$5</f>
        <v>104212.19798273331</v>
      </c>
      <c r="K39" s="1139">
        <f>H39*$O$4*$AH$4+H39*$O$5*$AH$5</f>
        <v>108861.22759180002</v>
      </c>
      <c r="L39" s="1140">
        <f t="shared" si="1"/>
        <v>0.87278551086399681</v>
      </c>
      <c r="M39" s="1146" t="s">
        <v>895</v>
      </c>
      <c r="N39" s="1147">
        <f>+F39*D39</f>
        <v>60.489295999999996</v>
      </c>
      <c r="O39" s="1147">
        <f t="shared" si="26"/>
        <v>59.31290546201501</v>
      </c>
      <c r="P39" s="1147">
        <f t="shared" si="27"/>
        <v>58.35883087033065</v>
      </c>
      <c r="Q39" s="1147">
        <f t="shared" si="28"/>
        <v>60.96228745140801</v>
      </c>
      <c r="R39" s="1148"/>
      <c r="S39" s="1070">
        <f>'[5]СВОД и Численность 061023'!BF43</f>
        <v>8752930.5</v>
      </c>
      <c r="T39" s="1071">
        <f>S39*'[5]СВОД и Численность 061023'!$AM$4</f>
        <v>2991077.3750750204</v>
      </c>
      <c r="U39" s="1071">
        <f>S39*'[5]СВОД и Численность 061023'!$AM$5</f>
        <v>5761853.1249249792</v>
      </c>
      <c r="V39" s="1222">
        <f>'[5]СВОД и Численность 061023'!BH43</f>
        <v>10564822.9</v>
      </c>
      <c r="W39" s="1222">
        <f>V39*'[5]СВОД и Численность 061023'!$AM$4</f>
        <v>3610242.6207844866</v>
      </c>
      <c r="X39" s="1222">
        <f>V39*'[5]СВОД и Численность 061023'!$AM$5</f>
        <v>6954580.2792155137</v>
      </c>
      <c r="Y39" s="1149">
        <f t="shared" ref="Y39:Z42" si="41">O39*$D$2*$F$3*$F$4/1000</f>
        <v>10240941.597729569</v>
      </c>
      <c r="Z39" s="1149">
        <f t="shared" si="41"/>
        <v>10076211.475385884</v>
      </c>
      <c r="AA39" s="1070">
        <f t="shared" si="4"/>
        <v>8766169.6637351364</v>
      </c>
      <c r="AB39" s="1071">
        <f t="shared" si="34"/>
        <v>3045168.4859097516</v>
      </c>
      <c r="AC39" s="1071">
        <f t="shared" si="35"/>
        <v>5721001.1778253848</v>
      </c>
      <c r="AD39" s="1070">
        <f t="shared" si="5"/>
        <v>10525723.206287561</v>
      </c>
      <c r="AE39" s="1071">
        <f t="shared" si="36"/>
        <v>3656397.47218156</v>
      </c>
      <c r="AF39" s="1071">
        <f t="shared" si="37"/>
        <v>6869325.7341060005</v>
      </c>
      <c r="AG39" s="1072">
        <f t="shared" si="32"/>
        <v>-39099.693712439388</v>
      </c>
      <c r="AH39" s="1072">
        <f t="shared" si="7"/>
        <v>13239.16373513639</v>
      </c>
      <c r="AI39" s="1072">
        <f t="shared" si="33"/>
        <v>54091.110834731255</v>
      </c>
      <c r="AJ39" s="1072">
        <f t="shared" si="33"/>
        <v>-40851.947099594399</v>
      </c>
      <c r="AK39" s="1072">
        <f>AA39*$F$4-'[5]СВОД и Численность 061023'!BG43-AH39</f>
        <v>-51561.504689659923</v>
      </c>
      <c r="AL39" s="1072">
        <f>AD39-(AA39*$F$4)-('[5]СВОД и Численность 061023'!BH43-'[5]СВОД и Численность 061023'!BG43)</f>
        <v>-777.35275791585445</v>
      </c>
      <c r="AM39" s="1073">
        <f t="shared" si="9"/>
        <v>0</v>
      </c>
      <c r="AN39" s="137"/>
    </row>
    <row r="40" spans="1:77" s="1155" customFormat="1" ht="93" customHeight="1" x14ac:dyDescent="0.4">
      <c r="A40" s="1153" t="s">
        <v>435</v>
      </c>
      <c r="B40" s="1154" t="s">
        <v>39</v>
      </c>
      <c r="C40" s="1076">
        <f>'[5]СВОД и Численность 061023'!O44</f>
        <v>40000</v>
      </c>
      <c r="D40" s="1077">
        <f>'[5]СВОД и Численность 061023'!P44</f>
        <v>2.7700000000000001E-4</v>
      </c>
      <c r="E40" s="1078">
        <f>'[5]СВОД и Численность 061023'!AD44</f>
        <v>0</v>
      </c>
      <c r="F40" s="1079">
        <f>'[5]СВОД и Численность 061023'!AJ44</f>
        <v>142711.1</v>
      </c>
      <c r="G40" s="1090"/>
      <c r="H40" s="1067">
        <v>122753.68501208084</v>
      </c>
      <c r="I40" s="1143">
        <f>I41</f>
        <v>128389.1460402275</v>
      </c>
      <c r="J40" s="1139">
        <f>J41</f>
        <v>126323.94924821601</v>
      </c>
      <c r="K40" s="1139">
        <f>K41</f>
        <v>129393.09431085199</v>
      </c>
      <c r="L40" s="1140"/>
      <c r="M40" s="1146" t="s">
        <v>895</v>
      </c>
      <c r="N40" s="1147">
        <f>+F40*D40</f>
        <v>39.530974700000002</v>
      </c>
      <c r="O40" s="1147">
        <f t="shared" si="26"/>
        <v>35.56379345314302</v>
      </c>
      <c r="P40" s="1147">
        <f t="shared" si="27"/>
        <v>34.99173394175584</v>
      </c>
      <c r="Q40" s="1147">
        <f t="shared" si="28"/>
        <v>35.841887124106002</v>
      </c>
      <c r="R40" s="1148"/>
      <c r="S40" s="1070">
        <f>'[5]СВОД и Численность 061023'!BF44</f>
        <v>5698596.9000000004</v>
      </c>
      <c r="T40" s="1071">
        <f>S40*'[5]СВОД и Численность 061023'!$AM$4</f>
        <v>1947341.4369350527</v>
      </c>
      <c r="U40" s="1071">
        <f>S40*'[5]СВОД и Численность 061023'!$AM$5</f>
        <v>3751255.4630649476</v>
      </c>
      <c r="V40" s="1222">
        <f>'[5]СВОД и Численность 061023'!BH44</f>
        <v>6878229.7999999998</v>
      </c>
      <c r="W40" s="1222">
        <f>V40*'[5]СВОД и Численность 061023'!$AM$4</f>
        <v>2350449.0907755732</v>
      </c>
      <c r="X40" s="1222">
        <f>V40*'[5]СВОД и Численность 061023'!$AM$5</f>
        <v>4527780.7092244271</v>
      </c>
      <c r="Y40" s="1149">
        <f t="shared" si="41"/>
        <v>6140429.791971649</v>
      </c>
      <c r="Z40" s="1149">
        <f t="shared" si="41"/>
        <v>6041658.2345692944</v>
      </c>
      <c r="AA40" s="1070">
        <f t="shared" si="4"/>
        <v>5153941.5060302205</v>
      </c>
      <c r="AB40" s="1071">
        <f>AA40*$AG$4</f>
        <v>560233.44170548499</v>
      </c>
      <c r="AC40" s="1071">
        <f>AA40*$AG$5</f>
        <v>4593708.0643247357</v>
      </c>
      <c r="AD40" s="1070">
        <f t="shared" si="5"/>
        <v>6188445.3295826651</v>
      </c>
      <c r="AE40" s="1071">
        <f>AD40*$AG$4</f>
        <v>672684.00732563576</v>
      </c>
      <c r="AF40" s="1071">
        <f>AD40*$AG$5</f>
        <v>5515761.3222570289</v>
      </c>
      <c r="AG40" s="1072">
        <f t="shared" si="32"/>
        <v>-689784.4704173347</v>
      </c>
      <c r="AH40" s="1072">
        <f t="shared" si="7"/>
        <v>-544655.39396977983</v>
      </c>
      <c r="AI40" s="1072">
        <f t="shared" si="33"/>
        <v>-1387107.9952295679</v>
      </c>
      <c r="AJ40" s="1072">
        <f t="shared" si="33"/>
        <v>842452.60125978803</v>
      </c>
      <c r="AK40" s="1072">
        <f>AA40*$F$4-'[5]СВОД и Численность 061023'!BG44-AH40</f>
        <v>-139892.53363856766</v>
      </c>
      <c r="AL40" s="1072">
        <f>AD40-(AA40*$F$4)-('[5]СВОД и Численность 061023'!BH44-'[5]СВОД и Численность 061023'!BG44)</f>
        <v>-5236.5428089872003</v>
      </c>
      <c r="AM40" s="1073">
        <f t="shared" si="9"/>
        <v>0</v>
      </c>
      <c r="AN40" s="137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</row>
    <row r="41" spans="1:77" s="1155" customFormat="1" ht="60.75" x14ac:dyDescent="0.4">
      <c r="A41" s="1153" t="s">
        <v>109</v>
      </c>
      <c r="B41" s="1154" t="s">
        <v>39</v>
      </c>
      <c r="C41" s="1076">
        <f>'[5]СВОД и Численность 061023'!O45</f>
        <v>40000</v>
      </c>
      <c r="D41" s="1077">
        <f>'[5]СВОД и Численность 061023'!P45</f>
        <v>2.7700000000000001E-4</v>
      </c>
      <c r="E41" s="1078">
        <f>'[5]СВОД и Численность 061023'!AD45</f>
        <v>0</v>
      </c>
      <c r="F41" s="1079">
        <f>'[5]СВОД и Численность 061023'!AJ45</f>
        <v>142711.1</v>
      </c>
      <c r="G41" s="1090"/>
      <c r="H41" s="1067">
        <v>122753.68501208084</v>
      </c>
      <c r="I41" s="1143">
        <f>H41*$O$4*$AH$4+H41*$AH$5</f>
        <v>128389.1460402275</v>
      </c>
      <c r="J41" s="1139">
        <f>H41*$AH$4+H41*$O$5*$AH$5</f>
        <v>126323.94924821601</v>
      </c>
      <c r="K41" s="1139">
        <f>H41*$O$4*$AG$4+H41*$O$5*$AG$5</f>
        <v>129393.09431085199</v>
      </c>
      <c r="L41" s="1140"/>
      <c r="M41" s="1146" t="s">
        <v>895</v>
      </c>
      <c r="N41" s="1147">
        <f>+F41*D41</f>
        <v>39.530974700000002</v>
      </c>
      <c r="O41" s="1147">
        <f t="shared" si="26"/>
        <v>35.56379345314302</v>
      </c>
      <c r="P41" s="1147">
        <f t="shared" si="27"/>
        <v>34.99173394175584</v>
      </c>
      <c r="Q41" s="1147">
        <f t="shared" si="28"/>
        <v>35.841887124106002</v>
      </c>
      <c r="R41" s="1148"/>
      <c r="S41" s="1070">
        <f>'[5]СВОД и Численность 061023'!BF45</f>
        <v>5698596.9000000004</v>
      </c>
      <c r="T41" s="1071">
        <f>S41*'[5]СВОД и Численность 061023'!$AM$4</f>
        <v>1947341.4369350527</v>
      </c>
      <c r="U41" s="1071">
        <f>S41*'[5]СВОД и Численность 061023'!$AM$5</f>
        <v>3751255.4630649476</v>
      </c>
      <c r="V41" s="1222">
        <f>'[5]СВОД и Численность 061023'!BH45</f>
        <v>6878229.7999999998</v>
      </c>
      <c r="W41" s="1222">
        <f>V41*'[5]СВОД и Численность 061023'!$AM$4</f>
        <v>2350449.0907755732</v>
      </c>
      <c r="X41" s="1222">
        <f>V41*'[5]СВОД и Численность 061023'!$AM$5</f>
        <v>4527780.7092244271</v>
      </c>
      <c r="Y41" s="1149">
        <f t="shared" si="41"/>
        <v>6140429.791971649</v>
      </c>
      <c r="Z41" s="1149">
        <f t="shared" si="41"/>
        <v>6041658.2345692944</v>
      </c>
      <c r="AA41" s="1070">
        <f t="shared" si="4"/>
        <v>5153941.5060302205</v>
      </c>
      <c r="AB41" s="1071">
        <f>AA41*$AG$4</f>
        <v>560233.44170548499</v>
      </c>
      <c r="AC41" s="1071">
        <f>AA41*$AG$5</f>
        <v>4593708.0643247357</v>
      </c>
      <c r="AD41" s="1070">
        <f t="shared" si="5"/>
        <v>6188445.3295826651</v>
      </c>
      <c r="AE41" s="1071">
        <f>AD41*$AG$4</f>
        <v>672684.00732563576</v>
      </c>
      <c r="AF41" s="1071">
        <f>AD41*$AG$5</f>
        <v>5515761.3222570289</v>
      </c>
      <c r="AG41" s="1072">
        <f t="shared" si="32"/>
        <v>-689784.4704173347</v>
      </c>
      <c r="AH41" s="1072">
        <f t="shared" si="7"/>
        <v>-544655.39396977983</v>
      </c>
      <c r="AI41" s="1072">
        <f t="shared" si="33"/>
        <v>-1387107.9952295679</v>
      </c>
      <c r="AJ41" s="1072">
        <f t="shared" si="33"/>
        <v>842452.60125978803</v>
      </c>
      <c r="AK41" s="1072">
        <f>AA41*$F$4-'[5]СВОД и Численность 061023'!BG45-AH41</f>
        <v>-139892.53363856766</v>
      </c>
      <c r="AL41" s="1072">
        <f>AD41-(AA41*$F$4)-('[5]СВОД и Численность 061023'!BH45-'[5]СВОД и Численность 061023'!BG45)</f>
        <v>-5236.5428089872003</v>
      </c>
      <c r="AM41" s="1073">
        <f t="shared" si="9"/>
        <v>0</v>
      </c>
      <c r="AN41" s="137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</row>
    <row r="42" spans="1:77" s="125" customFormat="1" ht="23.25" customHeight="1" x14ac:dyDescent="0.4">
      <c r="A42" s="1141" t="s">
        <v>436</v>
      </c>
      <c r="B42" s="1142" t="s">
        <v>39</v>
      </c>
      <c r="C42" s="1076">
        <f>'[5]СВОД и Численность 061023'!O46</f>
        <v>8738179.4166574012</v>
      </c>
      <c r="D42" s="1077">
        <f>'[5]СВОД и Численность 061023'!P46</f>
        <v>6.0616935842921965E-2</v>
      </c>
      <c r="E42" s="1078">
        <f>'[5]СВОД и Численность 061023'!AD46</f>
        <v>15102.1</v>
      </c>
      <c r="F42" s="1079">
        <f>'[5]СВОД и Численность 061023'!AJ46</f>
        <v>16472.3</v>
      </c>
      <c r="G42" s="1090">
        <f t="shared" si="0"/>
        <v>1.0907291038994575</v>
      </c>
      <c r="H42" s="1067"/>
      <c r="I42" s="1109">
        <f>(I43*D43+I44*D44)/D42</f>
        <v>17223.891625030868</v>
      </c>
      <c r="J42" s="1102">
        <f>(J43*D43+J44*D44)/D42</f>
        <v>16946.837630771708</v>
      </c>
      <c r="K42" s="1102">
        <f>(K43*D43+K44*D44)/D42</f>
        <v>17702.865851169787</v>
      </c>
      <c r="L42" s="1103">
        <f t="shared" si="1"/>
        <v>1.1722121990431653</v>
      </c>
      <c r="M42" s="1094"/>
      <c r="N42" s="1105" t="e">
        <f>+N43+N44</f>
        <v>#REF!</v>
      </c>
      <c r="O42" s="1105">
        <f t="shared" si="26"/>
        <v>1044.0595335999371</v>
      </c>
      <c r="P42" s="1105">
        <f t="shared" si="27"/>
        <v>1027.2653694049043</v>
      </c>
      <c r="Q42" s="1105">
        <f t="shared" si="28"/>
        <v>1073.0934835362132</v>
      </c>
      <c r="R42" s="1098"/>
      <c r="S42" s="1070">
        <f>'[5]СВОД и Численность 061023'!BF46</f>
        <v>151386737.69999999</v>
      </c>
      <c r="T42" s="1071">
        <f>S42*'[5]СВОД и Численность 061023'!$AM$4</f>
        <v>51732325.079113401</v>
      </c>
      <c r="U42" s="1071">
        <f>S42*'[5]СВОД и Численность 061023'!$AM$5</f>
        <v>99654412.620886594</v>
      </c>
      <c r="V42" s="1222">
        <f>'[5]СВОД и Численность 061023'!BH46</f>
        <v>182629858</v>
      </c>
      <c r="W42" s="1222">
        <f>V42*'[5]СВОД и Численность 061023'!$AM$4</f>
        <v>62408816.827342995</v>
      </c>
      <c r="X42" s="1222">
        <f>V42*'[5]СВОД и Численность 061023'!$AM$5</f>
        <v>120221041.17265701</v>
      </c>
      <c r="Y42" s="1110">
        <f t="shared" si="41"/>
        <v>180266885.00358769</v>
      </c>
      <c r="Z42" s="1110">
        <f t="shared" si="41"/>
        <v>177367211.59584752</v>
      </c>
      <c r="AA42" s="1070">
        <f t="shared" si="4"/>
        <v>154307194.41466343</v>
      </c>
      <c r="AB42" s="1071">
        <f t="shared" ref="AB42:AB44" si="42">AA42*$AH$4</f>
        <v>53602818.974013388</v>
      </c>
      <c r="AC42" s="1071">
        <f t="shared" ref="AC42:AC44" si="43">AA42*$AH$5</f>
        <v>100704375.44065005</v>
      </c>
      <c r="AD42" s="1070">
        <f t="shared" si="5"/>
        <v>185279874.72871968</v>
      </c>
      <c r="AE42" s="1071">
        <f t="shared" ref="AE42:AE44" si="44">AD42*$AH$4</f>
        <v>64362025.518543616</v>
      </c>
      <c r="AF42" s="1071">
        <f t="shared" ref="AF42:AF44" si="45">AD42*$AH$5</f>
        <v>120917849.21017607</v>
      </c>
      <c r="AG42" s="1072">
        <f t="shared" si="32"/>
        <v>2650016.7287196815</v>
      </c>
      <c r="AH42" s="1072">
        <f t="shared" si="7"/>
        <v>2920456.7146634459</v>
      </c>
      <c r="AI42" s="1072">
        <f t="shared" si="33"/>
        <v>1870493.8948999867</v>
      </c>
      <c r="AJ42" s="1072">
        <f t="shared" si="33"/>
        <v>1049962.8197634518</v>
      </c>
      <c r="AK42" s="1072">
        <f>AA42*$F$4-'[5]СВОД и Численность 061023'!BG46-AH42</f>
        <v>-374560.07451573014</v>
      </c>
      <c r="AL42" s="1072">
        <f>AD42-(AA42*$F$4)-('[5]СВОД и Численность 061023'!BH46-'[5]СВОД и Численность 061023'!BG46)</f>
        <v>104120.08857196569</v>
      </c>
      <c r="AM42" s="1073">
        <f t="shared" si="9"/>
        <v>0</v>
      </c>
      <c r="AN42" s="137"/>
    </row>
    <row r="43" spans="1:77" s="125" customFormat="1" ht="66" customHeight="1" x14ac:dyDescent="0.4">
      <c r="A43" s="1156" t="s">
        <v>108</v>
      </c>
      <c r="B43" s="1157" t="s">
        <v>39</v>
      </c>
      <c r="C43" s="1076">
        <f>'[5]СВОД и Численность 061023'!O47</f>
        <v>279662</v>
      </c>
      <c r="D43" s="1077">
        <f>'[5]СВОД и Численность 061023'!P47</f>
        <v>1.9400058689509701E-3</v>
      </c>
      <c r="E43" s="1078">
        <f>'[5]СВОД и Численность 061023'!AD47</f>
        <v>36748.300000000003</v>
      </c>
      <c r="F43" s="1079">
        <f>'[5]СВОД и Численность 061023'!AJ47</f>
        <v>40082.300000000003</v>
      </c>
      <c r="G43" s="1090">
        <f t="shared" si="0"/>
        <v>1.0907252852512905</v>
      </c>
      <c r="H43" s="1067">
        <v>39332.798653464757</v>
      </c>
      <c r="I43" s="1158">
        <f>H43*$O$4*$AH$4+H43*$AH$5</f>
        <v>41138.515963847138</v>
      </c>
      <c r="J43" s="1139">
        <f t="shared" ref="J43" si="46">H43*$AH$4+H43*$O$5*$AH$5</f>
        <v>40476.784549495089</v>
      </c>
      <c r="K43" s="1144">
        <f>H43*$O$4*$AH$4+H43*$O$5*$AH$5</f>
        <v>42282.50185987747</v>
      </c>
      <c r="L43" s="1145">
        <f t="shared" si="1"/>
        <v>1.1505974932140388</v>
      </c>
      <c r="M43" s="1159" t="s">
        <v>895</v>
      </c>
      <c r="N43" s="1105">
        <f>+F43*D43</f>
        <v>77.75989724105348</v>
      </c>
      <c r="O43" s="1105">
        <f t="shared" si="26"/>
        <v>79.808962409796621</v>
      </c>
      <c r="P43" s="1105">
        <f t="shared" si="27"/>
        <v>78.525199582284415</v>
      </c>
      <c r="Q43" s="1105">
        <f t="shared" si="28"/>
        <v>82.028301762092596</v>
      </c>
      <c r="R43" s="1160"/>
      <c r="S43" s="1070">
        <f>'[5]СВОД и Численность 061023'!BF47</f>
        <v>10929079.1</v>
      </c>
      <c r="T43" s="1071">
        <f>S43*'[5]СВОД и Численность 061023'!$AM$4</f>
        <v>3734717.3299748315</v>
      </c>
      <c r="U43" s="1071">
        <f>S43*'[5]СВОД и Численность 061023'!$AM$5</f>
        <v>7194361.7700251685</v>
      </c>
      <c r="V43" s="1222">
        <f>'[5]СВОД и Численность 061023'!BH47</f>
        <v>13096889.6</v>
      </c>
      <c r="W43" s="1222">
        <f>V43*'[5]СВОД и Численность 061023'!$AM$4</f>
        <v>4475507.9646085771</v>
      </c>
      <c r="X43" s="1222">
        <f>V43*'[5]СВОД и Численность 061023'!$AM$5</f>
        <v>8621381.6353914235</v>
      </c>
      <c r="Y43" s="1149">
        <f>O43*$D$2*$F$4/1000</f>
        <v>13681662.367024159</v>
      </c>
      <c r="Z43" s="1149">
        <f>P43*$D$2*$F$4/1000</f>
        <v>13461586.713425608</v>
      </c>
      <c r="AA43" s="1070">
        <f t="shared" si="4"/>
        <v>11795390.897162924</v>
      </c>
      <c r="AB43" s="1071">
        <f t="shared" si="42"/>
        <v>4097451.226345846</v>
      </c>
      <c r="AC43" s="1071">
        <f t="shared" si="43"/>
        <v>7697939.6708170772</v>
      </c>
      <c r="AD43" s="1070">
        <f>Q43*$D$2*$F$4/1000</f>
        <v>14062124.044248477</v>
      </c>
      <c r="AE43" s="1071">
        <f t="shared" si="44"/>
        <v>4884862.9021690208</v>
      </c>
      <c r="AF43" s="1071">
        <f t="shared" si="45"/>
        <v>9177261.1420794558</v>
      </c>
      <c r="AG43" s="1072">
        <f t="shared" si="32"/>
        <v>965234.444248477</v>
      </c>
      <c r="AH43" s="1072">
        <f t="shared" si="7"/>
        <v>866311.79716292396</v>
      </c>
      <c r="AI43" s="1072">
        <f t="shared" si="33"/>
        <v>362733.89637101442</v>
      </c>
      <c r="AJ43" s="1072">
        <f t="shared" si="33"/>
        <v>503577.90079190861</v>
      </c>
      <c r="AK43" s="1072">
        <f>AA43*$F$4-'[5]СВОД и Численность 061023'!BG47-AH43</f>
        <v>98922.647085551172</v>
      </c>
      <c r="AL43" s="1072">
        <f>AD43-(AA43*$F$4)-('[5]СВОД и Численность 061023'!BH47-'[5]СВОД и Численность 061023'!BG47)</f>
        <v>1.862645149230957E-9</v>
      </c>
      <c r="AM43" s="1073">
        <f t="shared" si="9"/>
        <v>0</v>
      </c>
      <c r="AN43" s="137"/>
    </row>
    <row r="44" spans="1:77" s="125" customFormat="1" ht="86.25" customHeight="1" x14ac:dyDescent="0.4">
      <c r="A44" s="1156" t="s">
        <v>442</v>
      </c>
      <c r="B44" s="1157" t="s">
        <v>39</v>
      </c>
      <c r="C44" s="1076">
        <f>'[5]СВОД и Численность 061023'!O48</f>
        <v>8458518.4166574012</v>
      </c>
      <c r="D44" s="1077">
        <f>'[5]СВОД и Численность 061023'!P48</f>
        <v>5.8676935842921961E-2</v>
      </c>
      <c r="E44" s="1078">
        <f>'[5]СВОД и Численность 061023'!AD48</f>
        <v>14405</v>
      </c>
      <c r="F44" s="1079">
        <f>'[5]СВОД и Численность 061023'!AJ48</f>
        <v>15711.9</v>
      </c>
      <c r="G44" s="1090">
        <f t="shared" si="0"/>
        <v>1.0907254425546684</v>
      </c>
      <c r="H44" s="1067">
        <v>17088.82360307674</v>
      </c>
      <c r="I44" s="1158">
        <f>F44*$O$4*$AH$4+F44*$AH$5</f>
        <v>16433.212766451154</v>
      </c>
      <c r="J44" s="1139">
        <f>F44*$AH$4+F44*$O$5*$AH$5</f>
        <v>16168.877194991835</v>
      </c>
      <c r="K44" s="1139">
        <f>ROUND(F44*O4*AH4+F44*O5*AH5,1)</f>
        <v>16890.2</v>
      </c>
      <c r="L44" s="1140">
        <f t="shared" si="1"/>
        <v>1.1725234293648039</v>
      </c>
      <c r="M44" s="1159" t="s">
        <v>894</v>
      </c>
      <c r="N44" s="1147" t="e">
        <f>+N45+N46</f>
        <v>#REF!</v>
      </c>
      <c r="O44" s="1105">
        <f t="shared" si="26"/>
        <v>964.25057119014048</v>
      </c>
      <c r="P44" s="1147">
        <f t="shared" si="27"/>
        <v>948.74016982261992</v>
      </c>
      <c r="Q44" s="1147">
        <f t="shared" si="28"/>
        <v>991.06518177412056</v>
      </c>
      <c r="R44" s="1160"/>
      <c r="S44" s="1070">
        <f>'[5]СВОД и Численность 061023'!BF48</f>
        <v>134759061.69999999</v>
      </c>
      <c r="T44" s="1071">
        <f>S44*'[5]СВОД и Численность 061023'!$AM$4</f>
        <v>46050266.312203519</v>
      </c>
      <c r="U44" s="1071">
        <f>S44*'[5]СВОД и Численность 061023'!$AM$5</f>
        <v>88708795.387796476</v>
      </c>
      <c r="V44" s="1222">
        <f>'[5]СВОД и Численность 061023'!BH48</f>
        <v>162654738.59999999</v>
      </c>
      <c r="W44" s="1222">
        <f>V44*'[5]СВОД и Численность 061023'!$AM$4</f>
        <v>55582859.771958843</v>
      </c>
      <c r="X44" s="1222">
        <f>V44*'[5]СВОД и Численность 061023'!$AM$5</f>
        <v>107071878.82804115</v>
      </c>
      <c r="Y44" s="1149">
        <f>O44*$D$2*$F$3*$F$4/1000</f>
        <v>166487102.73449039</v>
      </c>
      <c r="Z44" s="1149">
        <f>P44*$D$2*$F$3*$F$4/1000</f>
        <v>163809083.28282401</v>
      </c>
      <c r="AA44" s="1070">
        <f t="shared" si="4"/>
        <v>142511803.51750052</v>
      </c>
      <c r="AB44" s="1071">
        <f t="shared" si="42"/>
        <v>49505367.747667551</v>
      </c>
      <c r="AC44" s="1071">
        <f t="shared" si="43"/>
        <v>93006435.769832969</v>
      </c>
      <c r="AD44" s="1070">
        <f t="shared" si="5"/>
        <v>171116902.24974534</v>
      </c>
      <c r="AE44" s="1071">
        <f t="shared" si="44"/>
        <v>59442130.15783675</v>
      </c>
      <c r="AF44" s="1071">
        <f t="shared" si="45"/>
        <v>111674772.09190859</v>
      </c>
      <c r="AG44" s="1072">
        <f t="shared" si="32"/>
        <v>8462163.6497453451</v>
      </c>
      <c r="AH44" s="1072">
        <f t="shared" si="7"/>
        <v>7752741.8175005317</v>
      </c>
      <c r="AI44" s="1072">
        <f t="shared" si="33"/>
        <v>3455101.435464032</v>
      </c>
      <c r="AJ44" s="1072">
        <f t="shared" si="33"/>
        <v>4297640.3820364922</v>
      </c>
      <c r="AK44" s="1072">
        <f>AA44*$F$4-'[5]СВОД и Численность 061023'!BG48-AH44</f>
        <v>656848.37839874625</v>
      </c>
      <c r="AL44" s="1072">
        <f>AD44-(AA44*$F$4)-('[5]СВОД и Численность 061023'!BH48-'[5]СВОД и Численность 061023'!BG48)</f>
        <v>52573.45384606719</v>
      </c>
      <c r="AM44" s="1073">
        <f t="shared" si="9"/>
        <v>0</v>
      </c>
      <c r="AN44" s="137"/>
    </row>
    <row r="45" spans="1:77" s="125" customFormat="1" ht="42.75" hidden="1" customHeight="1" x14ac:dyDescent="0.4">
      <c r="A45" s="1137" t="s">
        <v>440</v>
      </c>
      <c r="B45" s="1138" t="s">
        <v>39</v>
      </c>
      <c r="C45" s="1076">
        <f>'[5]СВОД и Численность 061023'!O49</f>
        <v>5018923.0866370602</v>
      </c>
      <c r="D45" s="1077">
        <f>'[5]СВОД и Численность 061023'!P49</f>
        <v>3.4816100306403447E-2</v>
      </c>
      <c r="E45" s="1078">
        <f>'[5]СВОД и Численность 061023'!AD49</f>
        <v>0</v>
      </c>
      <c r="F45" s="1079">
        <f>'[5]СВОД и Численность 061023'!AJ49</f>
        <v>0</v>
      </c>
      <c r="G45" s="1090" t="e">
        <f t="shared" si="0"/>
        <v>#DIV/0!</v>
      </c>
      <c r="H45" s="1067"/>
      <c r="I45" s="1158"/>
      <c r="J45" s="1158">
        <f>20365.5/29853.3*J44</f>
        <v>11030.179863351999</v>
      </c>
      <c r="K45" s="1158">
        <f>20365.5/29853.3*K44</f>
        <v>11522.256102340447</v>
      </c>
      <c r="L45" s="1103" t="e">
        <f t="shared" si="1"/>
        <v>#DIV/0!</v>
      </c>
      <c r="M45" s="1159"/>
      <c r="N45" s="1105" t="e">
        <f>+#REF!</f>
        <v>#REF!</v>
      </c>
      <c r="O45" s="1105"/>
      <c r="P45" s="1105" t="e">
        <f>+#REF!</f>
        <v>#REF!</v>
      </c>
      <c r="Q45" s="1105" t="e">
        <f>+#REF!</f>
        <v>#REF!</v>
      </c>
      <c r="R45" s="1160"/>
      <c r="S45" s="1070">
        <f>'[5]СВОД и Численность 061023'!BF49</f>
        <v>91450384.200000003</v>
      </c>
      <c r="T45" s="1071"/>
      <c r="U45" s="1071"/>
      <c r="V45" s="1222">
        <f>'[5]СВОД и Численность 061023'!BH49</f>
        <v>110380987.8</v>
      </c>
      <c r="W45" s="1222"/>
      <c r="X45" s="1222"/>
      <c r="Y45" s="1149"/>
      <c r="Z45" s="1161" t="e">
        <f>+#REF!</f>
        <v>#REF!</v>
      </c>
      <c r="AA45" s="1070" t="e">
        <f t="shared" si="4"/>
        <v>#REF!</v>
      </c>
      <c r="AB45" s="1071"/>
      <c r="AC45" s="1071"/>
      <c r="AD45" s="1070" t="e">
        <f t="shared" si="5"/>
        <v>#REF!</v>
      </c>
      <c r="AE45" s="1071"/>
      <c r="AF45" s="1071"/>
      <c r="AG45" s="1072" t="e">
        <f t="shared" si="32"/>
        <v>#REF!</v>
      </c>
      <c r="AH45" s="1072" t="e">
        <f t="shared" si="7"/>
        <v>#REF!</v>
      </c>
      <c r="AI45" s="1072">
        <f t="shared" si="33"/>
        <v>0</v>
      </c>
      <c r="AJ45" s="1072">
        <f t="shared" si="33"/>
        <v>0</v>
      </c>
      <c r="AK45" s="1072" t="e">
        <f>AA45*$F$4-'[5]СВОД и Численность 061023'!BG48-AH45</f>
        <v>#REF!</v>
      </c>
      <c r="AL45" s="1072" t="e">
        <f t="shared" ref="AL45:AL46" si="47">(AH45+AK45)*$F$3-AK45-AH45</f>
        <v>#REF!</v>
      </c>
      <c r="AM45" s="1073" t="e">
        <f t="shared" si="9"/>
        <v>#REF!</v>
      </c>
      <c r="AN45" s="137"/>
    </row>
    <row r="46" spans="1:77" s="125" customFormat="1" ht="62.25" hidden="1" customHeight="1" x14ac:dyDescent="0.4">
      <c r="A46" s="1137" t="s">
        <v>441</v>
      </c>
      <c r="B46" s="1138" t="s">
        <v>39</v>
      </c>
      <c r="C46" s="1076">
        <f>'[5]СВОД и Численность 061023'!O50</f>
        <v>3439595.3300203411</v>
      </c>
      <c r="D46" s="1077">
        <f>'[5]СВОД и Численность 061023'!P50</f>
        <v>2.3860835536518511E-2</v>
      </c>
      <c r="E46" s="1078">
        <f>'[5]СВОД и Численность 061023'!AD50</f>
        <v>0</v>
      </c>
      <c r="F46" s="1079">
        <f>'[5]СВОД и Численность 061023'!AJ50</f>
        <v>0</v>
      </c>
      <c r="G46" s="1090" t="e">
        <f t="shared" si="0"/>
        <v>#DIV/0!</v>
      </c>
      <c r="H46" s="1067"/>
      <c r="I46" s="1158"/>
      <c r="J46" s="1158">
        <f>39116.1/29853.3*J44</f>
        <v>21185.712040110146</v>
      </c>
      <c r="K46" s="1158">
        <f>39116.1/29853.3*K44</f>
        <v>22130.844905588328</v>
      </c>
      <c r="L46" s="1103" t="e">
        <f t="shared" si="1"/>
        <v>#DIV/0!</v>
      </c>
      <c r="M46" s="1159"/>
      <c r="N46" s="1105" t="e">
        <f>+#REF!-N36-N39-N41</f>
        <v>#REF!</v>
      </c>
      <c r="O46" s="1105"/>
      <c r="P46" s="1105" t="e">
        <f>+#REF!-P36-P39-P41</f>
        <v>#REF!</v>
      </c>
      <c r="Q46" s="1105" t="e">
        <f>+#REF!-Q36-Q39-Q41</f>
        <v>#REF!</v>
      </c>
      <c r="R46" s="1160"/>
      <c r="S46" s="1070">
        <f>'[5]СВОД и Численность 061023'!BF50</f>
        <v>43308677.499999993</v>
      </c>
      <c r="T46" s="1071"/>
      <c r="U46" s="1071"/>
      <c r="V46" s="1222">
        <f>'[5]СВОД и Численность 061023'!BH50</f>
        <v>52273750.800000004</v>
      </c>
      <c r="W46" s="1222"/>
      <c r="X46" s="1222"/>
      <c r="Y46" s="1149"/>
      <c r="Z46" s="1161" t="e">
        <f>+#REF!-Z36-Z39-Z41</f>
        <v>#REF!</v>
      </c>
      <c r="AA46" s="1070" t="e">
        <f t="shared" si="4"/>
        <v>#REF!</v>
      </c>
      <c r="AB46" s="1071"/>
      <c r="AC46" s="1071"/>
      <c r="AD46" s="1070" t="e">
        <f t="shared" si="5"/>
        <v>#REF!</v>
      </c>
      <c r="AE46" s="1071"/>
      <c r="AF46" s="1071"/>
      <c r="AG46" s="1072" t="e">
        <f t="shared" si="32"/>
        <v>#REF!</v>
      </c>
      <c r="AH46" s="1072" t="e">
        <f t="shared" si="7"/>
        <v>#REF!</v>
      </c>
      <c r="AI46" s="1072">
        <f t="shared" si="33"/>
        <v>0</v>
      </c>
      <c r="AJ46" s="1072">
        <f t="shared" si="33"/>
        <v>0</v>
      </c>
      <c r="AK46" s="1072" t="e">
        <f>AA46*$F$4-'[5]СВОД и Численность 061023'!BG49-AH46</f>
        <v>#REF!</v>
      </c>
      <c r="AL46" s="1072" t="e">
        <f t="shared" si="47"/>
        <v>#REF!</v>
      </c>
      <c r="AM46" s="1073" t="e">
        <f t="shared" si="9"/>
        <v>#REF!</v>
      </c>
      <c r="AN46" s="137"/>
    </row>
    <row r="47" spans="1:77" ht="101.25" x14ac:dyDescent="0.4">
      <c r="A47" s="1162" t="s">
        <v>111</v>
      </c>
      <c r="B47" s="1163" t="s">
        <v>33</v>
      </c>
      <c r="C47" s="1164">
        <f>'[5]СВОД и Численность 061023'!O51</f>
        <v>26353955.703644328</v>
      </c>
      <c r="D47" s="1165">
        <f>'[5]СВОД и Численность 061023'!P51</f>
        <v>0.1828163625</v>
      </c>
      <c r="E47" s="1166">
        <f>'[5]СВОД и Численность 061023'!AD51</f>
        <v>41858.1</v>
      </c>
      <c r="F47" s="1166">
        <f>'[5]СВОД и Численность 061023'!AJ51</f>
        <v>47083.4</v>
      </c>
      <c r="G47" s="1167">
        <f t="shared" si="0"/>
        <v>1.1248336642131391</v>
      </c>
      <c r="H47" s="1067">
        <v>47097.524025521147</v>
      </c>
      <c r="I47" s="1166">
        <f>(I48*D48+I49*D49)/D47</f>
        <v>50108.359613598601</v>
      </c>
      <c r="J47" s="1168">
        <f>(J48*D48+J49*D49)/D47</f>
        <v>47031.313254475506</v>
      </c>
      <c r="K47" s="1168">
        <f>(K48*D48+K49*D49)/D47</f>
        <v>50925.376470356976</v>
      </c>
      <c r="L47" s="1167">
        <f t="shared" si="1"/>
        <v>1.2166193991212448</v>
      </c>
      <c r="M47" s="1169" t="s">
        <v>380</v>
      </c>
      <c r="N47" s="1168">
        <f>'[5]СВОД и Численность 061023'!AV51</f>
        <v>8321.3982209512506</v>
      </c>
      <c r="O47" s="1168">
        <f t="shared" ref="O47:O55" si="48">I47*D47</f>
        <v>9160.628035400001</v>
      </c>
      <c r="P47" s="1168">
        <f t="shared" ref="P47:P55" si="49">J47*D47</f>
        <v>8598.0936127812492</v>
      </c>
      <c r="Q47" s="1168">
        <f t="shared" ref="Q47:Q55" si="50">K47*D47</f>
        <v>9309.9920852537507</v>
      </c>
      <c r="R47" s="1169"/>
      <c r="S47" s="1070">
        <f>'[5]СВОД и Численность 061023'!BF51</f>
        <v>1199574651.3</v>
      </c>
      <c r="T47" s="1071">
        <f>S47*'[5]СВОД и Численность 061023'!$AI$4</f>
        <v>718528095.84823883</v>
      </c>
      <c r="U47" s="1071">
        <f>S47*'[5]СВОД и Численность 061023'!$AI$5</f>
        <v>481046555.45176113</v>
      </c>
      <c r="V47" s="1222">
        <f>'[5]СВОД и Численность 061023'!BH51</f>
        <v>1446688530.6999998</v>
      </c>
      <c r="W47" s="1222">
        <f>V47*'[5]СВОД и Численность 061023'!$AI$4</f>
        <v>866545782.80963814</v>
      </c>
      <c r="X47" s="1222">
        <f>V47*'[5]СВОД и Численность 061023'!$AI$5</f>
        <v>580142747.89036167</v>
      </c>
      <c r="Y47" s="1070">
        <f>O47*$D$2*$F$3*$F$4/1000</f>
        <v>1581670228.0608273</v>
      </c>
      <c r="Z47" s="1070">
        <f>P47*$D$2*$F$3*$F$4/1000</f>
        <v>1484543268.5251741</v>
      </c>
      <c r="AA47" s="1070">
        <f t="shared" si="4"/>
        <v>1338745207.8863995</v>
      </c>
      <c r="AB47" s="1071">
        <f>AA47*$Z$4</f>
        <v>841428875.42217565</v>
      </c>
      <c r="AC47" s="1071">
        <f>AA47*$Z$5</f>
        <v>497316332.46422392</v>
      </c>
      <c r="AD47" s="1070">
        <f t="shared" si="5"/>
        <v>1607459362.8104682</v>
      </c>
      <c r="AE47" s="1071">
        <f>AD47*$Z$4</f>
        <v>1010321244.0789049</v>
      </c>
      <c r="AF47" s="1071">
        <f>AD47*$Z$5</f>
        <v>597138118.73156333</v>
      </c>
      <c r="AG47" s="1072">
        <f t="shared" si="32"/>
        <v>160770832.11046839</v>
      </c>
      <c r="AH47" s="1072">
        <f t="shared" si="7"/>
        <v>139170556.58639956</v>
      </c>
      <c r="AI47" s="1072">
        <f t="shared" si="33"/>
        <v>122900779.57393682</v>
      </c>
      <c r="AJ47" s="1072">
        <f t="shared" si="33"/>
        <v>16269777.012462795</v>
      </c>
      <c r="AK47" s="1072">
        <f>AA47*$F$4-'[5]СВОД и Численность 061023'!BG51-AH47</f>
        <v>19329463.460838556</v>
      </c>
      <c r="AL47" s="1072">
        <f>AD47-(AA47*$F$4)-('[5]СВОД и Численность 061023'!BH51-'[5]СВОД и Численность 061023'!BG51)</f>
        <v>2270812.0632302761</v>
      </c>
      <c r="AM47" s="1073">
        <f t="shared" si="9"/>
        <v>0</v>
      </c>
      <c r="AN47" s="137"/>
    </row>
    <row r="48" spans="1:77" s="76" customFormat="1" ht="117" customHeight="1" x14ac:dyDescent="0.4">
      <c r="A48" s="1127" t="s">
        <v>105</v>
      </c>
      <c r="B48" s="1128" t="s">
        <v>33</v>
      </c>
      <c r="C48" s="1076">
        <f>'[5]СВОД и Численность 061023'!O52</f>
        <v>1738244</v>
      </c>
      <c r="D48" s="1077">
        <f>'[5]СВОД и Численность 061023'!P52</f>
        <v>1.2057999999999999E-2</v>
      </c>
      <c r="E48" s="1078">
        <f>'[5]СВОД и Численность 061023'!AD52</f>
        <v>72505.399999999994</v>
      </c>
      <c r="F48" s="1079">
        <f>'[5]СВОД и Численность 061023'!AJ52</f>
        <v>81556.5</v>
      </c>
      <c r="G48" s="1090">
        <f t="shared" si="0"/>
        <v>1.1248334606801702</v>
      </c>
      <c r="H48" s="1067">
        <v>84752.340161529151</v>
      </c>
      <c r="I48" s="1129">
        <f>ROUND((I51*D51+I54*D54)/D48,1)</f>
        <v>91974.6</v>
      </c>
      <c r="J48" s="1130">
        <f>ROUND((J51*D51+J54*D54)/D48,1)</f>
        <v>86326.6</v>
      </c>
      <c r="K48" s="1131">
        <v>94155.6</v>
      </c>
      <c r="L48" s="1132">
        <f t="shared" si="1"/>
        <v>1.2986012076341902</v>
      </c>
      <c r="M48" s="1133" t="s">
        <v>895</v>
      </c>
      <c r="N48" s="1134">
        <f>'[5]СВОД и Численность 061023'!AV52</f>
        <v>964.63276519999988</v>
      </c>
      <c r="O48" s="1134">
        <f t="shared" si="48"/>
        <v>1109.0297267999999</v>
      </c>
      <c r="P48" s="1134">
        <f t="shared" si="49"/>
        <v>1040.9261428</v>
      </c>
      <c r="Q48" s="1134">
        <f t="shared" si="50"/>
        <v>1135.3282248</v>
      </c>
      <c r="R48" s="1135"/>
      <c r="S48" s="1070">
        <f>'[5]СВОД и Численность 061023'!BF52</f>
        <v>139058405.5</v>
      </c>
      <c r="T48" s="1071">
        <f>S48*'[5]СВОД и Численность 061023'!$AI$4</f>
        <v>83294000.258612558</v>
      </c>
      <c r="U48" s="1071">
        <f>S48*'[5]СВОД и Численность 061023'!$AI$5</f>
        <v>55764405.241387449</v>
      </c>
      <c r="V48" s="1222">
        <f>'[5]СВОД и Численность 061023'!BH52</f>
        <v>166641083.39999998</v>
      </c>
      <c r="W48" s="1222">
        <f>V48*'[5]СВОД и Численность 061023'!$AI$4</f>
        <v>99815630.661859378</v>
      </c>
      <c r="X48" s="1222">
        <f>V48*'[5]СВОД и Численность 061023'!$AI$5</f>
        <v>66825452.738140605</v>
      </c>
      <c r="Y48" s="1071">
        <f>O48*$D$2*$F$4/1000</f>
        <v>190121131.99968252</v>
      </c>
      <c r="Z48" s="1071">
        <f>P48*$D$2*$F$4/1000</f>
        <v>178446124.40482256</v>
      </c>
      <c r="AA48" s="1070">
        <f t="shared" si="4"/>
        <v>163256338.61027569</v>
      </c>
      <c r="AB48" s="1071">
        <f t="shared" ref="AB48:AB55" si="51">AA48*$Z$4</f>
        <v>102609963.86255056</v>
      </c>
      <c r="AC48" s="1071">
        <f t="shared" ref="AC48:AC55" si="52">AA48*$Z$5</f>
        <v>60646374.747725137</v>
      </c>
      <c r="AD48" s="1070">
        <f>Q48*$D$2*$F$4/1000</f>
        <v>194629487.44663537</v>
      </c>
      <c r="AE48" s="1071">
        <f t="shared" ref="AE48:AE55" si="53">AD48*$Z$4</f>
        <v>122328632.64905404</v>
      </c>
      <c r="AF48" s="1071">
        <f t="shared" ref="AF48:AF55" si="54">AD48*$Z$5</f>
        <v>72300854.79758133</v>
      </c>
      <c r="AG48" s="1072">
        <f t="shared" si="32"/>
        <v>27988404.046635389</v>
      </c>
      <c r="AH48" s="1072">
        <f t="shared" si="7"/>
        <v>24197933.110275686</v>
      </c>
      <c r="AI48" s="1072">
        <f t="shared" si="33"/>
        <v>19315963.603937998</v>
      </c>
      <c r="AJ48" s="1072">
        <f t="shared" si="33"/>
        <v>4881969.5063376874</v>
      </c>
      <c r="AK48" s="1072">
        <f>AG48-AH48</f>
        <v>3790470.9363597035</v>
      </c>
      <c r="AL48" s="1072">
        <v>0</v>
      </c>
      <c r="AM48" s="1073">
        <f t="shared" si="9"/>
        <v>0</v>
      </c>
      <c r="AN48" s="137"/>
    </row>
    <row r="49" spans="1:77" s="76" customFormat="1" ht="71.25" customHeight="1" x14ac:dyDescent="0.4">
      <c r="A49" s="1127" t="s">
        <v>106</v>
      </c>
      <c r="B49" s="1128" t="s">
        <v>33</v>
      </c>
      <c r="C49" s="1076">
        <f>'[5]СВОД и Численность 061023'!O53</f>
        <v>24615711.703644328</v>
      </c>
      <c r="D49" s="1077">
        <f>'[5]СВОД и Численность 061023'!P53</f>
        <v>0.17075836250000001</v>
      </c>
      <c r="E49" s="1078">
        <f>'[5]СВОД и Численность 061023'!AD53</f>
        <v>39951.5</v>
      </c>
      <c r="F49" s="1079">
        <f>'[5]СВОД и Численность 061023'!AJ53</f>
        <v>44938.8</v>
      </c>
      <c r="G49" s="1090">
        <f t="shared" si="0"/>
        <v>1.1248338610565312</v>
      </c>
      <c r="H49" s="1067">
        <v>44276.254938506885</v>
      </c>
      <c r="I49" s="1129">
        <f>ROUND((I52*D52+I55*D55)/D49,1)</f>
        <v>47152</v>
      </c>
      <c r="J49" s="1130">
        <f>ROUND((J52*D52+J55*D55)/D49,1)</f>
        <v>44256.5</v>
      </c>
      <c r="K49" s="1130">
        <f>ROUND((K52*D52+K55*D55)/D49,1)</f>
        <v>47872.7</v>
      </c>
      <c r="L49" s="1136">
        <f t="shared" si="1"/>
        <v>1.1982704028634719</v>
      </c>
      <c r="M49" s="1133" t="s">
        <v>896</v>
      </c>
      <c r="N49" s="1134">
        <f>'[5]СВОД и Численность 061023'!AV53</f>
        <v>7356.7654557512506</v>
      </c>
      <c r="O49" s="1134">
        <f t="shared" si="48"/>
        <v>8051.5983086000006</v>
      </c>
      <c r="P49" s="1134">
        <f t="shared" si="49"/>
        <v>7557.1674699812502</v>
      </c>
      <c r="Q49" s="1134">
        <f t="shared" si="50"/>
        <v>8174.6638604537502</v>
      </c>
      <c r="R49" s="1135"/>
      <c r="S49" s="1070">
        <f>'[5]СВОД и Численность 061023'!BF53</f>
        <v>1060516245.8</v>
      </c>
      <c r="T49" s="1071">
        <f>S49*'[5]СВОД и Численность 061023'!$AI$4</f>
        <v>635234095.58962619</v>
      </c>
      <c r="U49" s="1071">
        <f>S49*'[5]СВОД и Численность 061023'!$AI$5</f>
        <v>425282150.2103737</v>
      </c>
      <c r="V49" s="1222">
        <f>'[5]СВОД и Численность 061023'!BH53</f>
        <v>1280047447.3</v>
      </c>
      <c r="W49" s="1222">
        <f>V49*'[5]СВОД и Численность 061023'!$AI$4</f>
        <v>766730152.14777887</v>
      </c>
      <c r="X49" s="1222">
        <f>V49*'[5]СВОД и Численность 061023'!$AI$5</f>
        <v>513317295.15222108</v>
      </c>
      <c r="Y49" s="1071">
        <f>O49*$D$2*$F$3*$F$4/1000</f>
        <v>1390185616.5106764</v>
      </c>
      <c r="Z49" s="1071">
        <f>P49*$D$2*$F$3*$F$4/1000</f>
        <v>1304817393.4743965</v>
      </c>
      <c r="AA49" s="1070">
        <f t="shared" si="4"/>
        <v>1175488869.2761238</v>
      </c>
      <c r="AB49" s="1071">
        <f t="shared" si="51"/>
        <v>738818911.55962503</v>
      </c>
      <c r="AC49" s="1071">
        <f t="shared" si="52"/>
        <v>436669957.71649873</v>
      </c>
      <c r="AD49" s="1070">
        <f t="shared" si="5"/>
        <v>1411434063.5292382</v>
      </c>
      <c r="AE49" s="1071">
        <f t="shared" si="53"/>
        <v>887115315.00677848</v>
      </c>
      <c r="AF49" s="1071">
        <f t="shared" si="54"/>
        <v>524318748.52245969</v>
      </c>
      <c r="AG49" s="1072">
        <f t="shared" si="32"/>
        <v>131386616.22923827</v>
      </c>
      <c r="AH49" s="1072">
        <f t="shared" si="7"/>
        <v>114972623.47612381</v>
      </c>
      <c r="AI49" s="1072">
        <f t="shared" si="33"/>
        <v>103584815.96999884</v>
      </c>
      <c r="AJ49" s="1072">
        <f t="shared" si="33"/>
        <v>11387807.506125033</v>
      </c>
      <c r="AK49" s="1072">
        <f>AA49*$F$4-'[5]СВОД и Численность 061023'!BG53-AH49</f>
        <v>15538900.924479008</v>
      </c>
      <c r="AL49" s="1072">
        <f>AD49-(AA49*$F$4)-('[5]СВОД и Численность 061023'!BH53-'[5]СВОД и Численность 061023'!BG53)</f>
        <v>875091.82863545418</v>
      </c>
      <c r="AM49" s="1073">
        <f t="shared" si="9"/>
        <v>0</v>
      </c>
      <c r="AN49" s="137"/>
    </row>
    <row r="50" spans="1:77" ht="40.5" x14ac:dyDescent="0.4">
      <c r="A50" s="1170" t="s">
        <v>112</v>
      </c>
      <c r="B50" s="1171" t="s">
        <v>33</v>
      </c>
      <c r="C50" s="1076">
        <f>'[5]СВОД и Численность 061023'!O54</f>
        <v>1518838.6186840001</v>
      </c>
      <c r="D50" s="1077">
        <f>'[5]СВОД и Численность 061023'!P54</f>
        <v>1.0536E-2</v>
      </c>
      <c r="E50" s="1078">
        <f>'[5]СВОД и Численность 061023'!AD54</f>
        <v>104007.1</v>
      </c>
      <c r="F50" s="1079">
        <f>'[5]СВОД и Численность 061023'!AJ54</f>
        <v>116990.7</v>
      </c>
      <c r="G50" s="1090">
        <f t="shared" si="0"/>
        <v>1.1248337853858053</v>
      </c>
      <c r="H50" s="1067">
        <v>91224.314451297018</v>
      </c>
      <c r="I50" s="1109">
        <f>(I51*D51+I52*D52)/D50</f>
        <v>99873.260166871143</v>
      </c>
      <c r="J50" s="1102">
        <f>(J51*D51+J52*D52)/D50</f>
        <v>93740.254944401226</v>
      </c>
      <c r="K50" s="1102">
        <f>(K51*D51+K52*D52)/D50</f>
        <v>101399.8893058188</v>
      </c>
      <c r="L50" s="1103">
        <f t="shared" si="1"/>
        <v>0.97493237774939201</v>
      </c>
      <c r="M50" s="1094" t="s">
        <v>380</v>
      </c>
      <c r="N50" s="1105">
        <f>'[5]СВОД и Численность 061023'!AV54</f>
        <v>1030.3348702000001</v>
      </c>
      <c r="O50" s="1105">
        <f t="shared" si="48"/>
        <v>1052.2646691181544</v>
      </c>
      <c r="P50" s="1105">
        <f t="shared" si="49"/>
        <v>987.64732609421128</v>
      </c>
      <c r="Q50" s="1105">
        <f t="shared" si="50"/>
        <v>1068.3492337261068</v>
      </c>
      <c r="R50" s="1098"/>
      <c r="S50" s="1070">
        <f>'[5]СВОД и Численность 061023'!BF54</f>
        <v>148528164.30000001</v>
      </c>
      <c r="T50" s="1071">
        <f>S50*'[5]СВОД и Численность 061023'!$AI$4</f>
        <v>88966250.627801493</v>
      </c>
      <c r="U50" s="1071">
        <f>S50*'[5]СВОД и Численность 061023'!$AI$5</f>
        <v>59561913.672198527</v>
      </c>
      <c r="V50" s="1222">
        <f>'[5]СВОД и Численность 061023'!BH54</f>
        <v>179039595.59999999</v>
      </c>
      <c r="W50" s="1222">
        <f>V50*'[5]СВОД и Численность 061023'!$AI$4</f>
        <v>107242162.51859933</v>
      </c>
      <c r="X50" s="1222">
        <f>V50*'[5]СВОД и Численность 061023'!$AI$5</f>
        <v>71797433.081400663</v>
      </c>
      <c r="Y50" s="1110">
        <f>O50*$D$2*$F$3*$F$4/1000</f>
        <v>181683580.29087782</v>
      </c>
      <c r="Z50" s="1110">
        <f>P50*$D$2*$F$3*$F$4/1000</f>
        <v>170526776.70902583</v>
      </c>
      <c r="AA50" s="1070">
        <f t="shared" si="4"/>
        <v>153624987.42241949</v>
      </c>
      <c r="AB50" s="1071">
        <f t="shared" si="51"/>
        <v>96556461.709150836</v>
      </c>
      <c r="AC50" s="1071">
        <f t="shared" si="52"/>
        <v>57068525.71326866</v>
      </c>
      <c r="AD50" s="1070">
        <f t="shared" si="5"/>
        <v>184460734.52892873</v>
      </c>
      <c r="AE50" s="1071">
        <f t="shared" si="53"/>
        <v>115937362.46441564</v>
      </c>
      <c r="AF50" s="1071">
        <f t="shared" si="54"/>
        <v>68523372.064513087</v>
      </c>
      <c r="AG50" s="1072">
        <f t="shared" si="32"/>
        <v>5421138.9289287329</v>
      </c>
      <c r="AH50" s="1072">
        <f t="shared" si="7"/>
        <v>5096823.1224194765</v>
      </c>
      <c r="AI50" s="1072">
        <f t="shared" si="33"/>
        <v>7590211.0813493431</v>
      </c>
      <c r="AJ50" s="1072">
        <f t="shared" si="33"/>
        <v>-2493387.9589298666</v>
      </c>
      <c r="AK50" s="1072">
        <f>AA50*$F$4-'[5]СВОД и Численность 061023'!BG54-AH50</f>
        <v>61344.662941366434</v>
      </c>
      <c r="AL50" s="1072">
        <f>AD50-(AA50*$F$4)-('[5]СВОД и Численность 061023'!BH54-'[5]СВОД и Численность 061023'!BG54)</f>
        <v>262971.14356788993</v>
      </c>
      <c r="AM50" s="1073">
        <f t="shared" si="9"/>
        <v>0</v>
      </c>
      <c r="AN50" s="137"/>
    </row>
    <row r="51" spans="1:77" s="76" customFormat="1" ht="52.5" x14ac:dyDescent="0.4">
      <c r="A51" s="1137" t="s">
        <v>108</v>
      </c>
      <c r="B51" s="1138" t="s">
        <v>33</v>
      </c>
      <c r="C51" s="1076">
        <f>'[5]СВОД и Численность 061023'!O55</f>
        <v>232109</v>
      </c>
      <c r="D51" s="1077">
        <f>'[5]СВОД и Численность 061023'!P55</f>
        <v>1.6100000000000001E-3</v>
      </c>
      <c r="E51" s="1078">
        <f>'[5]СВОД и Численность 061023'!AD55</f>
        <v>117843.5</v>
      </c>
      <c r="F51" s="1079">
        <f>'[5]СВОД и Численность 061023'!AJ55</f>
        <v>132554.4</v>
      </c>
      <c r="G51" s="1090">
        <f t="shared" si="0"/>
        <v>1.1248342080810565</v>
      </c>
      <c r="H51" s="1067">
        <v>114682.14277724712</v>
      </c>
      <c r="I51" s="1143">
        <f>H51*$O$4*$Z$4+H51*$Z$5</f>
        <v>124208.10245820406</v>
      </c>
      <c r="J51" s="1139">
        <f>H51*$Z$4+H51*$O$5*$Z$5</f>
        <v>116580.74614905322</v>
      </c>
      <c r="K51" s="1144">
        <f>H51*$O$4*$Z$4+H51*$O$5*$Z$5</f>
        <v>126106.70583001015</v>
      </c>
      <c r="L51" s="1145">
        <f t="shared" si="1"/>
        <v>1.0701201664072277</v>
      </c>
      <c r="M51" s="1146" t="s">
        <v>895</v>
      </c>
      <c r="N51" s="1147">
        <f>'[5]СВОД и Численность 061023'!AV55</f>
        <v>188.03109500000002</v>
      </c>
      <c r="O51" s="1147">
        <f t="shared" si="48"/>
        <v>199.97504495770855</v>
      </c>
      <c r="P51" s="1147">
        <f t="shared" si="49"/>
        <v>187.6950012999757</v>
      </c>
      <c r="Q51" s="1147">
        <f t="shared" si="50"/>
        <v>203.03179638631636</v>
      </c>
      <c r="R51" s="1148"/>
      <c r="S51" s="1070">
        <f>'[5]СВОД и Численность 061023'!BF55</f>
        <v>27105666.5</v>
      </c>
      <c r="T51" s="1071">
        <f>S51*'[5]СВОД и Численность 061023'!$AI$4</f>
        <v>16235907.382534064</v>
      </c>
      <c r="U51" s="1071">
        <f>S51*'[5]СВОД и Численность 061023'!$AI$5</f>
        <v>10869759.117465936</v>
      </c>
      <c r="V51" s="1222">
        <f>'[5]СВОД и Численность 061023'!BH55</f>
        <v>32482144</v>
      </c>
      <c r="W51" s="1222">
        <f>V51*'[5]СВОД и Численность 061023'!$AI$4</f>
        <v>19456340.672166634</v>
      </c>
      <c r="X51" s="1222">
        <f>V51*'[5]СВОД и Численность 061023'!$AI$5</f>
        <v>13025803.327833368</v>
      </c>
      <c r="Y51" s="1149">
        <f>O51*$D$2*$F$4/1000</f>
        <v>34281751.877606168</v>
      </c>
      <c r="Z51" s="1149">
        <f>P51*$D$2*$F$4/1000</f>
        <v>32176582.156006161</v>
      </c>
      <c r="AA51" s="1070">
        <f t="shared" si="4"/>
        <v>29195282.012244578</v>
      </c>
      <c r="AB51" s="1071">
        <f t="shared" si="51"/>
        <v>18349834.730673246</v>
      </c>
      <c r="AC51" s="1071">
        <f t="shared" si="52"/>
        <v>10845447.281571332</v>
      </c>
      <c r="AD51" s="1070">
        <f>Q51*$D$2*$F$4/1000</f>
        <v>34805771.232367225</v>
      </c>
      <c r="AE51" s="1071">
        <f t="shared" si="53"/>
        <v>21876142.505480703</v>
      </c>
      <c r="AF51" s="1071">
        <f t="shared" si="54"/>
        <v>12929628.726886522</v>
      </c>
      <c r="AG51" s="1072">
        <f t="shared" si="32"/>
        <v>2323627.232367225</v>
      </c>
      <c r="AH51" s="1072">
        <f t="shared" si="7"/>
        <v>2089615.5122445785</v>
      </c>
      <c r="AI51" s="1072">
        <f t="shared" si="33"/>
        <v>2113927.3481391817</v>
      </c>
      <c r="AJ51" s="1072">
        <f t="shared" si="33"/>
        <v>-24311.835894603282</v>
      </c>
      <c r="AK51" s="1072">
        <f>AA51*$F$4-'[5]СВОД и Численность 061023'!BG55-AH51</f>
        <v>234011.72012264654</v>
      </c>
      <c r="AL51" s="1072">
        <f>AD51-(AA51*$F$4)-('[5]СВОД и Численность 061023'!BH55-'[5]СВОД и Численность 061023'!BG55)</f>
        <v>0</v>
      </c>
      <c r="AM51" s="1073">
        <f t="shared" si="9"/>
        <v>0</v>
      </c>
      <c r="AN51" s="137"/>
    </row>
    <row r="52" spans="1:77" s="1152" customFormat="1" ht="60.75" x14ac:dyDescent="0.4">
      <c r="A52" s="1150" t="s">
        <v>109</v>
      </c>
      <c r="B52" s="1151" t="s">
        <v>33</v>
      </c>
      <c r="C52" s="1076">
        <f>'[5]СВОД и Численность 061023'!O57</f>
        <v>1286729.6186840001</v>
      </c>
      <c r="D52" s="1077">
        <f>'[5]СВОД и Численность 061023'!P57</f>
        <v>8.9259999999999999E-3</v>
      </c>
      <c r="E52" s="1078">
        <f>'[5]СВОД и Численность 061023'!AD57</f>
        <v>102247.4</v>
      </c>
      <c r="F52" s="1079">
        <f>'[5]СВОД и Численность 061023'!AJ57</f>
        <v>115011.3</v>
      </c>
      <c r="G52" s="1090">
        <f t="shared" si="0"/>
        <v>1.1248334920985767</v>
      </c>
      <c r="H52" s="1067">
        <v>88160.935650335086</v>
      </c>
      <c r="I52" s="1143">
        <f>H52*$O$4*$Z$4+H52*$Z$5</f>
        <v>95483.93727990656</v>
      </c>
      <c r="J52" s="1139">
        <f>H52*$Z$4+H52*$O$5*$Z$5</f>
        <v>89620.471072623302</v>
      </c>
      <c r="K52" s="1139">
        <f>H52*$O$4*$Z$4+H52*$O$5*$Z$5</f>
        <v>96943.472702194777</v>
      </c>
      <c r="L52" s="1140">
        <f t="shared" si="1"/>
        <v>0.94812653135624747</v>
      </c>
      <c r="M52" s="1146" t="s">
        <v>849</v>
      </c>
      <c r="N52" s="1147">
        <f>'[5]СВОД и Численность 061023'!AV57</f>
        <v>842.30377520000002</v>
      </c>
      <c r="O52" s="1147">
        <f t="shared" si="48"/>
        <v>852.2896241604459</v>
      </c>
      <c r="P52" s="1147">
        <f t="shared" si="49"/>
        <v>799.95232479423555</v>
      </c>
      <c r="Q52" s="1147">
        <f t="shared" si="50"/>
        <v>865.31743733979056</v>
      </c>
      <c r="R52" s="1148"/>
      <c r="S52" s="1070">
        <f>'[5]СВОД и Численность 061023'!BF57</f>
        <v>121422497.8</v>
      </c>
      <c r="T52" s="1071">
        <f>S52*'[5]СВОД и Численность 061023'!$AI$4</f>
        <v>72730343.245267406</v>
      </c>
      <c r="U52" s="1071">
        <f>S52*'[5]СВОД и Численность 061023'!$AI$5</f>
        <v>48692154.554732583</v>
      </c>
      <c r="V52" s="1222">
        <f>'[5]СВОД и Численность 061023'!BH57</f>
        <v>146557451.59999999</v>
      </c>
      <c r="W52" s="1222">
        <f>V52*'[5]СВОД и Численность 061023'!$AI$4</f>
        <v>87785821.846432686</v>
      </c>
      <c r="X52" s="1222">
        <f>V52*'[5]СВОД и Численность 061023'!$AI$5</f>
        <v>58771629.753567301</v>
      </c>
      <c r="Y52" s="1149">
        <f t="shared" ref="Y52:Z53" si="55">O52*$D$2*$F$3*$F$4/1000</f>
        <v>147155972.16810983</v>
      </c>
      <c r="Z52" s="1149">
        <f t="shared" si="55"/>
        <v>138119435.81877351</v>
      </c>
      <c r="AA52" s="1070">
        <f t="shared" si="4"/>
        <v>124429705.41017492</v>
      </c>
      <c r="AB52" s="1071">
        <f t="shared" si="51"/>
        <v>78206626.978477597</v>
      </c>
      <c r="AC52" s="1071">
        <f t="shared" si="52"/>
        <v>46223078.431697331</v>
      </c>
      <c r="AD52" s="1070">
        <f t="shared" si="5"/>
        <v>149405348.97534183</v>
      </c>
      <c r="AE52" s="1071">
        <f t="shared" si="53"/>
        <v>93904332.228278011</v>
      </c>
      <c r="AF52" s="1071">
        <f t="shared" si="54"/>
        <v>55501016.747063816</v>
      </c>
      <c r="AG52" s="1072">
        <f t="shared" si="32"/>
        <v>2847897.3753418326</v>
      </c>
      <c r="AH52" s="1072">
        <f t="shared" si="7"/>
        <v>3007207.6101749241</v>
      </c>
      <c r="AI52" s="1072">
        <f t="shared" si="33"/>
        <v>5476283.7332101911</v>
      </c>
      <c r="AJ52" s="1072">
        <f t="shared" si="33"/>
        <v>-2469076.1230352521</v>
      </c>
      <c r="AK52" s="1072">
        <f>AA52*$F$4-'[5]СВОД и Численность 061023'!BG57-AH52</f>
        <v>-172667.05718129873</v>
      </c>
      <c r="AL52" s="1072">
        <f>AD52-(AA52*$F$4)-('[5]СВОД и Численность 061023'!BH57-'[5]СВОД и Численность 061023'!BG57)</f>
        <v>13356.822348207235</v>
      </c>
      <c r="AM52" s="1073">
        <f t="shared" si="9"/>
        <v>0</v>
      </c>
      <c r="AN52" s="137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</row>
    <row r="53" spans="1:77" ht="35.25" customHeight="1" x14ac:dyDescent="0.4">
      <c r="A53" s="1170" t="s">
        <v>448</v>
      </c>
      <c r="B53" s="1171" t="s">
        <v>33</v>
      </c>
      <c r="C53" s="1076">
        <f>'[5]СВОД и Численность 061023'!O62</f>
        <v>24835117.084960327</v>
      </c>
      <c r="D53" s="1077">
        <f>'[5]СВОД и Численность 061023'!P62</f>
        <v>0.17228036250000001</v>
      </c>
      <c r="E53" s="1078">
        <f>'[5]СВОД и Численность 061023'!AD62</f>
        <v>38208.800000000003</v>
      </c>
      <c r="F53" s="1079">
        <f>'[5]СВОД и Численность 061023'!AJ62</f>
        <v>43159.5</v>
      </c>
      <c r="G53" s="1090">
        <f t="shared" si="0"/>
        <v>1.1295696279391134</v>
      </c>
      <c r="H53" s="1067"/>
      <c r="I53" s="1109">
        <f>(I54*D54+I55*D55)/D53</f>
        <v>47064.922790360637</v>
      </c>
      <c r="J53" s="1102">
        <f>(J54*D54+J55*D55)/D53</f>
        <v>44174.765637323464</v>
      </c>
      <c r="K53" s="1102">
        <f>(K54*D54+K55*D55)/D53</f>
        <v>47784.335829146527</v>
      </c>
      <c r="L53" s="1103">
        <f t="shared" si="1"/>
        <v>1.2506107448845953</v>
      </c>
      <c r="M53" s="1094" t="s">
        <v>380</v>
      </c>
      <c r="N53" s="1105">
        <f>'[5]СВОД и Численность 061023'!AV54</f>
        <v>1030.3348702000001</v>
      </c>
      <c r="O53" s="1105">
        <f t="shared" si="48"/>
        <v>8108.3619593578424</v>
      </c>
      <c r="P53" s="1105">
        <f t="shared" si="49"/>
        <v>7610.4446373506298</v>
      </c>
      <c r="Q53" s="1105">
        <f t="shared" si="50"/>
        <v>8232.3026984671014</v>
      </c>
      <c r="R53" s="1098"/>
      <c r="S53" s="1070">
        <f>'[5]СВОД и Численность 061023'!BF62</f>
        <v>1051046487</v>
      </c>
      <c r="T53" s="1071">
        <f>S53*'[5]СВОД и Численность 061023'!$AI$4</f>
        <v>629561845.22043741</v>
      </c>
      <c r="U53" s="1071">
        <f>S53*'[5]СВОД и Численность 061023'!$AI$5</f>
        <v>421484641.77956265</v>
      </c>
      <c r="V53" s="1222">
        <f>'[5]СВОД и Численность 061023'!BH62</f>
        <v>1267648935.0999999</v>
      </c>
      <c r="W53" s="1222">
        <f>V53*'[5]СВОД и Численность 061023'!$AI$4</f>
        <v>759303620.29103887</v>
      </c>
      <c r="X53" s="1222">
        <f>V53*'[5]СВОД и Численность 061023'!$AI$5</f>
        <v>508345314.80896097</v>
      </c>
      <c r="Y53" s="1110">
        <f t="shared" si="55"/>
        <v>1399986404.8510358</v>
      </c>
      <c r="Z53" s="1110">
        <f t="shared" si="55"/>
        <v>1314016207.0424097</v>
      </c>
      <c r="AA53" s="1070">
        <f t="shared" si="4"/>
        <v>1183777138.2103944</v>
      </c>
      <c r="AB53" s="1071">
        <f t="shared" si="51"/>
        <v>744028258.9152509</v>
      </c>
      <c r="AC53" s="1071">
        <f t="shared" si="52"/>
        <v>439748879.29514343</v>
      </c>
      <c r="AD53" s="1070">
        <f t="shared" si="5"/>
        <v>1421385961.3372748</v>
      </c>
      <c r="AE53" s="1071">
        <f t="shared" si="53"/>
        <v>893370287.29844642</v>
      </c>
      <c r="AF53" s="1071">
        <f t="shared" si="54"/>
        <v>528015674.03882837</v>
      </c>
      <c r="AG53" s="1072">
        <f t="shared" si="32"/>
        <v>153737026.23727489</v>
      </c>
      <c r="AH53" s="1072">
        <f t="shared" si="7"/>
        <v>132730651.21039438</v>
      </c>
      <c r="AI53" s="1072">
        <f t="shared" si="33"/>
        <v>114466413.69481349</v>
      </c>
      <c r="AJ53" s="1072">
        <f t="shared" si="33"/>
        <v>18264237.515580773</v>
      </c>
      <c r="AK53" s="1072">
        <f>AA53*$F$4-'[5]СВОД и Численность 061023'!BG62-AH53</f>
        <v>19010017.214829206</v>
      </c>
      <c r="AL53" s="1072">
        <f>AD53-(AA53*$F$4)-('[5]СВОД и Численность 061023'!BH62-'[5]СВОД и Численность 061023'!BG62)</f>
        <v>1996357.8120512962</v>
      </c>
      <c r="AM53" s="1073">
        <f t="shared" si="9"/>
        <v>0</v>
      </c>
      <c r="AN53" s="137"/>
    </row>
    <row r="54" spans="1:77" s="126" customFormat="1" ht="52.5" x14ac:dyDescent="0.4">
      <c r="A54" s="1172" t="s">
        <v>108</v>
      </c>
      <c r="B54" s="1173" t="s">
        <v>33</v>
      </c>
      <c r="C54" s="1076">
        <f>'[5]СВОД и Численность 061023'!O63</f>
        <v>1506135</v>
      </c>
      <c r="D54" s="1077">
        <f>'[5]СВОД и Численность 061023'!P63</f>
        <v>1.0448000000000001E-2</v>
      </c>
      <c r="E54" s="1078">
        <f>'[5]СВОД и Численность 061023'!AD63</f>
        <v>67081.7</v>
      </c>
      <c r="F54" s="1079">
        <f>'[5]СВОД и Численность 061023'!AJ63</f>
        <v>75455.8</v>
      </c>
      <c r="G54" s="1090">
        <f t="shared" si="0"/>
        <v>1.1248343437927186</v>
      </c>
      <c r="H54" s="1067">
        <v>80334.585299974817</v>
      </c>
      <c r="I54" s="1174">
        <f t="shared" ref="I54" si="56">H54*$O$4*$Z$4+H54*$Z$5</f>
        <v>87007.498815729108</v>
      </c>
      <c r="J54" s="1139">
        <f t="shared" ref="J54" si="57">H54*$Z$4+H54*$O$5*$Z$5</f>
        <v>81664.552728464812</v>
      </c>
      <c r="K54" s="1144">
        <f>H54*$O$4*$Z$4+H54*$O$5*$Z$5</f>
        <v>88337.466244219089</v>
      </c>
      <c r="L54" s="1145">
        <f t="shared" si="1"/>
        <v>1.3168638577170688</v>
      </c>
      <c r="M54" s="1175" t="s">
        <v>895</v>
      </c>
      <c r="N54" s="1147">
        <f>'[5]СВОД и Численность 061023'!AV55</f>
        <v>188.03109500000002</v>
      </c>
      <c r="O54" s="1147">
        <f t="shared" si="48"/>
        <v>909.05434762673781</v>
      </c>
      <c r="P54" s="1147">
        <f t="shared" si="49"/>
        <v>853.23124690700047</v>
      </c>
      <c r="Q54" s="1147">
        <f t="shared" si="50"/>
        <v>922.94984731960108</v>
      </c>
      <c r="R54" s="1176"/>
      <c r="S54" s="1070">
        <f>'[5]СВОД и Численность 061023'!BF63</f>
        <v>111952739</v>
      </c>
      <c r="T54" s="1071">
        <f>S54*'[5]СВОД и Численность 061023'!$AI$4</f>
        <v>67058092.876078486</v>
      </c>
      <c r="U54" s="1071">
        <f>S54*'[5]СВОД и Численность 061023'!$AI$5</f>
        <v>44894646.123921514</v>
      </c>
      <c r="V54" s="1222">
        <f>'[5]СВОД и Численность 061023'!BH63</f>
        <v>134158939.39999999</v>
      </c>
      <c r="W54" s="1222">
        <f>V54*'[5]СВОД и Численность 061023'!$AI$4</f>
        <v>80359289.989692748</v>
      </c>
      <c r="X54" s="1222">
        <f>V54*'[5]СВОД и Численность 061023'!$AI$5</f>
        <v>53799649.410307243</v>
      </c>
      <c r="Y54" s="1177">
        <f>O54*$D$2*$F$4/1000</f>
        <v>155839322.827454</v>
      </c>
      <c r="Z54" s="1149">
        <f>P54*$D$2*$F$4/1000</f>
        <v>146269560.31875011</v>
      </c>
      <c r="AA54" s="1070">
        <f t="shared" si="4"/>
        <v>132717050.01507774</v>
      </c>
      <c r="AB54" s="1071">
        <f t="shared" si="51"/>
        <v>83415393.374100149</v>
      </c>
      <c r="AC54" s="1071">
        <f t="shared" si="52"/>
        <v>49301656.640977591</v>
      </c>
      <c r="AD54" s="1070">
        <f>Q54*$D$2*$F$4/1000</f>
        <v>158221430.41886288</v>
      </c>
      <c r="AE54" s="1071">
        <f t="shared" si="53"/>
        <v>99445420.592929468</v>
      </c>
      <c r="AF54" s="1071">
        <f t="shared" si="54"/>
        <v>58776009.825933404</v>
      </c>
      <c r="AG54" s="1072">
        <f t="shared" si="32"/>
        <v>24062491.018862888</v>
      </c>
      <c r="AH54" s="1072">
        <f t="shared" si="7"/>
        <v>20764311.01507774</v>
      </c>
      <c r="AI54" s="1072">
        <f t="shared" si="33"/>
        <v>16357300.498021662</v>
      </c>
      <c r="AJ54" s="1072">
        <f t="shared" si="33"/>
        <v>4407010.5170560777</v>
      </c>
      <c r="AK54" s="1072">
        <f>AG54-AH54</f>
        <v>3298180.0037851483</v>
      </c>
      <c r="AL54" s="1072">
        <v>0</v>
      </c>
      <c r="AM54" s="1073">
        <f t="shared" si="9"/>
        <v>0</v>
      </c>
      <c r="AN54" s="137"/>
    </row>
    <row r="55" spans="1:77" s="126" customFormat="1" ht="60.75" x14ac:dyDescent="0.4">
      <c r="A55" s="1172" t="s">
        <v>109</v>
      </c>
      <c r="B55" s="1173" t="s">
        <v>33</v>
      </c>
      <c r="C55" s="1076">
        <f>'[5]СВОД и Численность 061023'!O64</f>
        <v>23328982.084960327</v>
      </c>
      <c r="D55" s="1077">
        <f>'[5]СВОД и Численность 061023'!P64</f>
        <v>0.16183236250000002</v>
      </c>
      <c r="E55" s="1078">
        <f>'[5]СВОД и Численность 061023'!AD64</f>
        <v>36516</v>
      </c>
      <c r="F55" s="1079">
        <f>'[5]СВОД и Численность 061023'!AJ64</f>
        <v>41074.400000000001</v>
      </c>
      <c r="G55" s="1090">
        <f t="shared" si="0"/>
        <v>1.1248329499397525</v>
      </c>
      <c r="H55" s="1067">
        <v>41420.224149249771</v>
      </c>
      <c r="I55" s="1174">
        <f>F55*$O$4*$Z$4+F55*$Z$5</f>
        <v>44486.204739988912</v>
      </c>
      <c r="J55" s="1139">
        <f>F55*$Z$4+F55*$O$5*$Z$5</f>
        <v>41754.401196754625</v>
      </c>
      <c r="K55" s="1178">
        <f>ROUND(F55*O4*Z4+F55*O5*Z5,1)</f>
        <v>45166.2</v>
      </c>
      <c r="L55" s="1179">
        <f t="shared" si="1"/>
        <v>1.2368879395333552</v>
      </c>
      <c r="M55" s="1175" t="s">
        <v>894</v>
      </c>
      <c r="N55" s="1147">
        <f>'[5]СВОД и Численность 061023'!AV57</f>
        <v>842.30377520000002</v>
      </c>
      <c r="O55" s="1147">
        <f t="shared" si="48"/>
        <v>7199.3076117311048</v>
      </c>
      <c r="P55" s="1147">
        <f t="shared" si="49"/>
        <v>6757.2133904436296</v>
      </c>
      <c r="Q55" s="1147">
        <f t="shared" si="50"/>
        <v>7309.3528511475006</v>
      </c>
      <c r="R55" s="1176"/>
      <c r="S55" s="1070">
        <f>'[5]СВОД и Численность 061023'!BF64</f>
        <v>939093748</v>
      </c>
      <c r="T55" s="1071">
        <f>S55*'[5]СВОД и Численность 061023'!$AI$4</f>
        <v>562503752.34435892</v>
      </c>
      <c r="U55" s="1071">
        <f>S55*'[5]СВОД и Численность 061023'!$AI$5</f>
        <v>376589995.65564114</v>
      </c>
      <c r="V55" s="1222">
        <f>'[5]СВОД и Численность 061023'!BH64</f>
        <v>1133489995.7</v>
      </c>
      <c r="W55" s="1222">
        <f>V55*'[5]СВОД и Численность 061023'!$AI$4</f>
        <v>678944330.3013463</v>
      </c>
      <c r="X55" s="1222">
        <f>V55*'[5]СВОД и Численность 061023'!$AI$5</f>
        <v>454545665.39865381</v>
      </c>
      <c r="Y55" s="1177">
        <f>O55*$D$2*$F$3*$F$4/1000</f>
        <v>1243029459.1291714</v>
      </c>
      <c r="Z55" s="1177">
        <f>P55*$D$2*$F$3*$F$4/1000</f>
        <v>1166697654.6823597</v>
      </c>
      <c r="AA55" s="1070">
        <f t="shared" si="4"/>
        <v>1051060088.1953167</v>
      </c>
      <c r="AB55" s="1071">
        <f t="shared" si="51"/>
        <v>660612865.54115081</v>
      </c>
      <c r="AC55" s="1071">
        <f t="shared" si="52"/>
        <v>390447222.65416586</v>
      </c>
      <c r="AD55" s="1070">
        <f t="shared" si="5"/>
        <v>1262029824.4154952</v>
      </c>
      <c r="AE55" s="1071">
        <f t="shared" si="53"/>
        <v>793211680.34932387</v>
      </c>
      <c r="AF55" s="1071">
        <f t="shared" si="54"/>
        <v>468818144.06617129</v>
      </c>
      <c r="AG55" s="1072">
        <f t="shared" si="32"/>
        <v>128539828.71549511</v>
      </c>
      <c r="AH55" s="1072">
        <f t="shared" si="7"/>
        <v>111966340.19531667</v>
      </c>
      <c r="AI55" s="1072">
        <f t="shared" si="33"/>
        <v>98109113.196791887</v>
      </c>
      <c r="AJ55" s="1072">
        <f t="shared" si="33"/>
        <v>13857226.998524725</v>
      </c>
      <c r="AK55" s="1072">
        <f>AA55*$F$4-'[5]СВОД и Численность 061023'!BG64-AH55</f>
        <v>15711745.611044049</v>
      </c>
      <c r="AL55" s="1072">
        <f>AD55-(AA55*$F$4)-('[5]СВОД и Численность 061023'!BH64-'[5]СВОД и Численность 061023'!BG64)</f>
        <v>861742.90913438797</v>
      </c>
      <c r="AM55" s="1073">
        <f t="shared" si="9"/>
        <v>0</v>
      </c>
      <c r="AN55" s="137"/>
    </row>
    <row r="56" spans="1:77" s="1187" customFormat="1" ht="36.75" customHeight="1" x14ac:dyDescent="0.4">
      <c r="A56" s="1180" t="s">
        <v>113</v>
      </c>
      <c r="B56" s="1181" t="s">
        <v>125</v>
      </c>
      <c r="C56" s="1182" t="str">
        <f>'[5]СВОД и Численность 061023'!O65</f>
        <v>X</v>
      </c>
      <c r="D56" s="1183" t="str">
        <f>'[5]СВОД и Численность 061023'!P65</f>
        <v>X</v>
      </c>
      <c r="E56" s="1184" t="str">
        <f>'[5]СВОД и Численность 061023'!AD65</f>
        <v>X</v>
      </c>
      <c r="F56" s="1184" t="str">
        <f>'[5]СВОД и Численность 061023'!AJ65</f>
        <v>X</v>
      </c>
      <c r="G56" s="1184" t="str">
        <f>'[5]СВОД и Численность 061023'!AK65</f>
        <v>X</v>
      </c>
      <c r="H56" s="1067"/>
      <c r="I56" s="1184" t="s">
        <v>125</v>
      </c>
      <c r="J56" s="1185" t="s">
        <v>125</v>
      </c>
      <c r="K56" s="1185" t="s">
        <v>125</v>
      </c>
      <c r="L56" s="1185" t="s">
        <v>125</v>
      </c>
      <c r="M56" s="1186" t="s">
        <v>125</v>
      </c>
      <c r="N56" s="1185" t="s">
        <v>125</v>
      </c>
      <c r="O56" s="1185" t="s">
        <v>125</v>
      </c>
      <c r="P56" s="1185" t="s">
        <v>125</v>
      </c>
      <c r="Q56" s="1185" t="s">
        <v>125</v>
      </c>
      <c r="R56" s="1186" t="s">
        <v>125</v>
      </c>
      <c r="S56" s="1070" t="s">
        <v>125</v>
      </c>
      <c r="T56" s="1071" t="s">
        <v>125</v>
      </c>
      <c r="U56" s="1071" t="s">
        <v>125</v>
      </c>
      <c r="V56" s="1222" t="s">
        <v>125</v>
      </c>
      <c r="W56" s="1222" t="s">
        <v>125</v>
      </c>
      <c r="X56" s="1222" t="s">
        <v>125</v>
      </c>
      <c r="Y56" s="1070" t="s">
        <v>125</v>
      </c>
      <c r="Z56" s="1070" t="s">
        <v>125</v>
      </c>
      <c r="AA56" s="1070" t="s">
        <v>125</v>
      </c>
      <c r="AB56" s="1071" t="s">
        <v>125</v>
      </c>
      <c r="AC56" s="1071" t="s">
        <v>125</v>
      </c>
      <c r="AD56" s="1070" t="s">
        <v>125</v>
      </c>
      <c r="AE56" s="1071" t="s">
        <v>125</v>
      </c>
      <c r="AF56" s="1071" t="s">
        <v>125</v>
      </c>
      <c r="AG56" s="1072" t="s">
        <v>125</v>
      </c>
      <c r="AH56" s="1072" t="s">
        <v>125</v>
      </c>
      <c r="AI56" s="1072" t="s">
        <v>125</v>
      </c>
      <c r="AJ56" s="1072" t="s">
        <v>125</v>
      </c>
      <c r="AK56" s="1072" t="s">
        <v>125</v>
      </c>
      <c r="AL56" s="1072" t="s">
        <v>125</v>
      </c>
      <c r="AM56" s="1073" t="e">
        <f t="shared" si="9"/>
        <v>#VALUE!</v>
      </c>
      <c r="AN56" s="13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</row>
    <row r="57" spans="1:77" s="1088" customFormat="1" ht="45.75" customHeight="1" x14ac:dyDescent="0.4">
      <c r="A57" s="1180" t="s">
        <v>114</v>
      </c>
      <c r="B57" s="1188" t="s">
        <v>15</v>
      </c>
      <c r="C57" s="1182">
        <f>'[5]СВОД и Численность 061023'!O66</f>
        <v>449187.70914399996</v>
      </c>
      <c r="D57" s="1183">
        <f>'[5]СВОД и Численность 061023'!P66</f>
        <v>3.1159999999999998E-3</v>
      </c>
      <c r="E57" s="1184">
        <f>'[5]СВОД и Численность 061023'!AD66</f>
        <v>19906</v>
      </c>
      <c r="F57" s="1184">
        <f>'[5]СВОД и Численность 061023'!AJ66</f>
        <v>22843.4</v>
      </c>
      <c r="G57" s="1189">
        <f t="shared" si="0"/>
        <v>1.1475635486787903</v>
      </c>
      <c r="H57" s="1067">
        <v>17379.120879283695</v>
      </c>
      <c r="I57" s="1184">
        <f>ROUND(F57*$O$4*$Y$4+F57*$Y$5,1)</f>
        <v>25206.5</v>
      </c>
      <c r="J57" s="1185">
        <f>ROUND(F57*$Y$4+F57*$O$5*$Y$5,1)</f>
        <v>23064.5</v>
      </c>
      <c r="K57" s="1185">
        <f>ROUND(F57*$O$4*$Y$4+F57*$O$5*$Y$5,1)</f>
        <v>25427.7</v>
      </c>
      <c r="L57" s="1189">
        <f t="shared" si="1"/>
        <v>1.2773887270169799</v>
      </c>
      <c r="M57" s="1186" t="s">
        <v>380</v>
      </c>
      <c r="N57" s="1185">
        <f>'[5]СВОД и Численность 061023'!AV66</f>
        <v>67.364492400000003</v>
      </c>
      <c r="O57" s="1185">
        <f t="shared" ref="O57:O63" si="58">I57*D57</f>
        <v>78.543453999999997</v>
      </c>
      <c r="P57" s="1185">
        <f t="shared" ref="P57:P63" si="59">J57*D57</f>
        <v>71.868982000000003</v>
      </c>
      <c r="Q57" s="1185">
        <f t="shared" ref="Q57:Q63" si="60">K57*D57</f>
        <v>79.232713199999992</v>
      </c>
      <c r="R57" s="1186"/>
      <c r="S57" s="1070">
        <f>'[5]СВОД и Численность 061023'!BF66</f>
        <v>9710944.1999999993</v>
      </c>
      <c r="T57" s="1071">
        <f>S57*'[5]СВОД и Численность 061023'!$AH$4</f>
        <v>7481721.7112473836</v>
      </c>
      <c r="U57" s="1071">
        <f>S57*'[5]СВОД и Численность 061023'!$AH$5</f>
        <v>2229222.4887526152</v>
      </c>
      <c r="V57" s="1222">
        <f>'[5]СВОД и Численность 061023'!BH66</f>
        <v>11721149.300000001</v>
      </c>
      <c r="W57" s="1222">
        <f>V57*'[5]СВОД и Численность 061023'!$AH$4</f>
        <v>9030468.6539731212</v>
      </c>
      <c r="X57" s="1222">
        <f>V57*'[5]СВОД и Численность 061023'!$AH$5</f>
        <v>2690680.6460268795</v>
      </c>
      <c r="Y57" s="1070">
        <f>O57*$D$2*$F$3*$F$4/1000</f>
        <v>13561280.113197017</v>
      </c>
      <c r="Z57" s="1070">
        <f>P57*$D$2*$F$3*$F$4/1000</f>
        <v>12408868.552588921</v>
      </c>
      <c r="AA57" s="1070">
        <f t="shared" si="4"/>
        <v>11393394.766935119</v>
      </c>
      <c r="AB57" s="1071">
        <f t="shared" ref="AB57" si="61">AA57*$Y$4</f>
        <v>8918452.4036997855</v>
      </c>
      <c r="AC57" s="1071">
        <f t="shared" ref="AC57" si="62">AA57*$Y$5</f>
        <v>2474942.3632353349</v>
      </c>
      <c r="AD57" s="1070">
        <f t="shared" si="5"/>
        <v>13680287.320109488</v>
      </c>
      <c r="AE57" s="1071">
        <f t="shared" ref="AE57" si="63">AD57*$Y$4</f>
        <v>10708572.276229015</v>
      </c>
      <c r="AF57" s="1071">
        <f t="shared" ref="AF57" si="64">AD57*$Y$5</f>
        <v>2971715.0438804743</v>
      </c>
      <c r="AG57" s="1072">
        <f t="shared" ref="AG57:AG66" si="65">AD57-V57</f>
        <v>1959138.0201094877</v>
      </c>
      <c r="AH57" s="1072">
        <f t="shared" si="7"/>
        <v>1682450.5669351202</v>
      </c>
      <c r="AI57" s="1072">
        <f t="shared" ref="AI57:AJ66" si="66">+AB57-T57</f>
        <v>1436730.6924524019</v>
      </c>
      <c r="AJ57" s="1072">
        <f t="shared" si="66"/>
        <v>245719.87448271969</v>
      </c>
      <c r="AK57" s="1072">
        <f>AA57*$F$4-'[5]СВОД и Численность 061023'!BG66-AH57</f>
        <v>263290.81183450669</v>
      </c>
      <c r="AL57" s="1072">
        <f>AD57-(AA57*$F$4)-('[5]СВОД и Численность 061023'!BH66-'[5]СВОД и Численность 061023'!BG66)</f>
        <v>13396.641339860857</v>
      </c>
      <c r="AM57" s="1073">
        <f t="shared" si="9"/>
        <v>0</v>
      </c>
      <c r="AN57" s="137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</row>
    <row r="58" spans="1:77" ht="81" x14ac:dyDescent="0.4">
      <c r="A58" s="1119" t="s">
        <v>115</v>
      </c>
      <c r="B58" s="1120" t="s">
        <v>39</v>
      </c>
      <c r="C58" s="1121">
        <f>'[5]СВОД и Численность 061023'!O67</f>
        <v>393300.76363399997</v>
      </c>
      <c r="D58" s="1122">
        <f>'[5]СВОД и Численность 061023'!P67</f>
        <v>2.728E-3</v>
      </c>
      <c r="E58" s="1123">
        <f>'[5]СВОД и Численность 061023'!AD67</f>
        <v>24094.1</v>
      </c>
      <c r="F58" s="1123">
        <f>'[5]СВОД и Численность 061023'!AJ67</f>
        <v>26280.1</v>
      </c>
      <c r="G58" s="1124">
        <f t="shared" si="0"/>
        <v>1.090727605513383</v>
      </c>
      <c r="H58" s="1067">
        <v>24288.617797127306</v>
      </c>
      <c r="I58" s="1123">
        <f>(I59*D59+I60*D60)/D58</f>
        <v>27476.577584114162</v>
      </c>
      <c r="J58" s="1123">
        <f>(J59*D59+J60*D60)/D58</f>
        <v>27034.604554210306</v>
      </c>
      <c r="K58" s="1123">
        <f>(K59*D59+K60*D60)/D58</f>
        <v>28240.686257089277</v>
      </c>
      <c r="L58" s="1124">
        <f t="shared" si="1"/>
        <v>1.1720996533213226</v>
      </c>
      <c r="M58" s="1125" t="s">
        <v>380</v>
      </c>
      <c r="N58" s="1126">
        <f>'[5]СВОД и Численность 061023'!AV67</f>
        <v>69.984429199999994</v>
      </c>
      <c r="O58" s="1126">
        <f t="shared" si="58"/>
        <v>74.956103649463429</v>
      </c>
      <c r="P58" s="1126">
        <f t="shared" si="59"/>
        <v>73.750401223885717</v>
      </c>
      <c r="Q58" s="1126">
        <f t="shared" si="60"/>
        <v>77.040592109339542</v>
      </c>
      <c r="R58" s="1125"/>
      <c r="S58" s="1070">
        <f>'[5]СВОД и Численность 061023'!BF67</f>
        <v>10088621.799999999</v>
      </c>
      <c r="T58" s="1071">
        <f>S58*'[5]СВОД и Численность 061023'!$AM$4</f>
        <v>3447513.7682937873</v>
      </c>
      <c r="U58" s="1071">
        <f>S58*'[5]СВОД и Численность 061023'!$AM$5</f>
        <v>6641108.0317062112</v>
      </c>
      <c r="V58" s="1222">
        <f>'[5]СВОД и Численность 061023'!BH67</f>
        <v>12172219.300000001</v>
      </c>
      <c r="W58" s="1222">
        <f>V58*'[5]СВОД и Численность 061023'!$AM$4</f>
        <v>4159526.8867588411</v>
      </c>
      <c r="X58" s="1222">
        <f>V58*'[5]СВОД и Численность 061023'!$AM$5</f>
        <v>8012692.4132411601</v>
      </c>
      <c r="Y58" s="1070">
        <f>O58*$D$2*$F$3*$F$4/1000</f>
        <v>12941889.693114372</v>
      </c>
      <c r="Z58" s="1070">
        <f>P58*$D$2*$F$3*$F$4/1000</f>
        <v>12733713.613584939</v>
      </c>
      <c r="AA58" s="1070">
        <f t="shared" si="4"/>
        <v>11078175.207309855</v>
      </c>
      <c r="AB58" s="1071">
        <f t="shared" ref="AB58:AB60" si="67">AA58*$AH$4</f>
        <v>3848306.7652962529</v>
      </c>
      <c r="AC58" s="1071">
        <f t="shared" ref="AC58:AC60" si="68">AA58*$AH$5</f>
        <v>7229868.4420136027</v>
      </c>
      <c r="AD58" s="1070">
        <f t="shared" si="5"/>
        <v>13301796.603970451</v>
      </c>
      <c r="AE58" s="1071">
        <f t="shared" ref="AE58:AE60" si="69">AD58*$AH$4</f>
        <v>4620742.396985855</v>
      </c>
      <c r="AF58" s="1071">
        <f t="shared" ref="AF58:AF60" si="70">AD58*$AH$5</f>
        <v>8681054.2069845963</v>
      </c>
      <c r="AG58" s="1072">
        <f t="shared" si="65"/>
        <v>1129577.3039704505</v>
      </c>
      <c r="AH58" s="1072">
        <f t="shared" si="7"/>
        <v>989553.40730985627</v>
      </c>
      <c r="AI58" s="1072">
        <f t="shared" si="66"/>
        <v>400792.99700246565</v>
      </c>
      <c r="AJ58" s="1072">
        <f t="shared" si="66"/>
        <v>588760.41030739155</v>
      </c>
      <c r="AK58" s="1072">
        <f>AA58*$F$4-'[5]СВОД и Численность 061023'!BG67-AH58</f>
        <v>127801.42490006052</v>
      </c>
      <c r="AL58" s="1072">
        <f>AD58-(AA58*$F$4)-('[5]СВОД и Численность 061023'!BH67-'[5]СВОД и Численность 061023'!BG67)</f>
        <v>12222.47176053375</v>
      </c>
      <c r="AM58" s="1073">
        <f t="shared" si="9"/>
        <v>0</v>
      </c>
      <c r="AN58" s="137"/>
    </row>
    <row r="59" spans="1:77" ht="51" x14ac:dyDescent="0.4">
      <c r="A59" s="1127" t="s">
        <v>108</v>
      </c>
      <c r="B59" s="1128" t="s">
        <v>39</v>
      </c>
      <c r="C59" s="1076">
        <f>'[5]СВОД и Численность 061023'!O68</f>
        <v>18353</v>
      </c>
      <c r="D59" s="1077">
        <f>'[5]СВОД и Численность 061023'!P68</f>
        <v>1.27E-4</v>
      </c>
      <c r="E59" s="1078">
        <f>'[5]СВОД и Численность 061023'!AD68</f>
        <v>26212.1</v>
      </c>
      <c r="F59" s="1079">
        <f>'[5]СВОД и Численность 061023'!AJ68</f>
        <v>28590.2</v>
      </c>
      <c r="G59" s="1090">
        <f t="shared" si="0"/>
        <v>1.0907252757314372</v>
      </c>
      <c r="H59" s="1067">
        <v>30109.19512585393</v>
      </c>
      <c r="I59" s="1129">
        <f>H59*$O$4*$AH$4+H59*$AH$5</f>
        <v>31491.468869439828</v>
      </c>
      <c r="J59" s="1130">
        <f>H59*$AH$4+H59*$O$5*$AH$5</f>
        <v>30984.914518930174</v>
      </c>
      <c r="K59" s="1131">
        <f>H59*$O$4*$AH$4+H59*$O$5*$AH$5</f>
        <v>32367.188262516072</v>
      </c>
      <c r="L59" s="1132">
        <f t="shared" si="1"/>
        <v>1.2348185861688332</v>
      </c>
      <c r="M59" s="1133" t="s">
        <v>895</v>
      </c>
      <c r="N59" s="1083">
        <f>'[5]СВОД и Численность 061023'!AV68</f>
        <v>3.8394385999999998</v>
      </c>
      <c r="O59" s="1134">
        <f t="shared" si="58"/>
        <v>3.9994165464188582</v>
      </c>
      <c r="P59" s="1134">
        <f t="shared" si="59"/>
        <v>3.935084143904132</v>
      </c>
      <c r="Q59" s="1134">
        <f t="shared" si="60"/>
        <v>4.1106329093395413</v>
      </c>
      <c r="R59" s="1135"/>
      <c r="S59" s="1070">
        <f>'[5]СВОД и Численность 061023'!BF68</f>
        <v>553475.19999999995</v>
      </c>
      <c r="T59" s="1071">
        <f>S59*'[5]СВОД и Численность 061023'!$AM$4</f>
        <v>189135.18716790015</v>
      </c>
      <c r="U59" s="1071">
        <f>S59*'[5]СВОД и Численность 061023'!$AM$5</f>
        <v>364340.0128320998</v>
      </c>
      <c r="V59" s="1222">
        <f>'[5]СВОД и Численность 061023'!BH68</f>
        <v>663258.4</v>
      </c>
      <c r="W59" s="1222">
        <f>V59*'[5]СВОД и Численность 061023'!$AM$4</f>
        <v>226650.62793180614</v>
      </c>
      <c r="X59" s="1222">
        <f>V59*'[5]СВОД и Численность 061023'!$AM$5</f>
        <v>436607.77206819388</v>
      </c>
      <c r="Y59" s="1071">
        <f>O59*$D$2*$F$4/1000</f>
        <v>685620.57695008768</v>
      </c>
      <c r="Z59" s="1071">
        <f>P59*$D$2*$F$4/1000</f>
        <v>674592.06356149714</v>
      </c>
      <c r="AA59" s="1070">
        <f t="shared" si="4"/>
        <v>591095.03621113428</v>
      </c>
      <c r="AB59" s="1071">
        <f t="shared" si="67"/>
        <v>205333.00694534846</v>
      </c>
      <c r="AC59" s="1071">
        <f t="shared" si="68"/>
        <v>385762.02926578582</v>
      </c>
      <c r="AD59" s="1070">
        <f>Q59*$D$2*$F$4/1000</f>
        <v>704686.41468590614</v>
      </c>
      <c r="AE59" s="1071">
        <f t="shared" si="69"/>
        <v>244792.07507557189</v>
      </c>
      <c r="AF59" s="1071">
        <f t="shared" si="70"/>
        <v>459894.33961033425</v>
      </c>
      <c r="AG59" s="1072">
        <f t="shared" si="65"/>
        <v>41428.014685906121</v>
      </c>
      <c r="AH59" s="1072">
        <f t="shared" si="7"/>
        <v>37619.83621113433</v>
      </c>
      <c r="AI59" s="1072">
        <f t="shared" si="66"/>
        <v>16197.819777448312</v>
      </c>
      <c r="AJ59" s="1072">
        <f t="shared" si="66"/>
        <v>21422.016433686018</v>
      </c>
      <c r="AK59" s="1072">
        <f>AA59*$F$4-'[5]СВОД и Численность 061023'!BG68-AH59</f>
        <v>3808.1784747717902</v>
      </c>
      <c r="AL59" s="1072">
        <f>AD59-(AA59*$F$4)-('[5]СВОД и Численность 061023'!BH68-'[5]СВОД и Численность 061023'!BG68)</f>
        <v>0</v>
      </c>
      <c r="AM59" s="1073">
        <f t="shared" si="9"/>
        <v>0</v>
      </c>
      <c r="AN59" s="137"/>
    </row>
    <row r="60" spans="1:77" ht="60.75" x14ac:dyDescent="0.4">
      <c r="A60" s="1127" t="s">
        <v>109</v>
      </c>
      <c r="B60" s="1128" t="s">
        <v>39</v>
      </c>
      <c r="C60" s="1076">
        <f>'[5]СВОД и Численность 061023'!O69</f>
        <v>374947.76363399997</v>
      </c>
      <c r="D60" s="1077">
        <f>'[5]СВОД и Численность 061023'!P69</f>
        <v>2.601E-3</v>
      </c>
      <c r="E60" s="1078">
        <f>'[5]СВОД и Численность 061023'!AD69</f>
        <v>23913.5</v>
      </c>
      <c r="F60" s="1079">
        <f>'[5]СВОД и Численность 061023'!AJ69</f>
        <v>26083.1</v>
      </c>
      <c r="G60" s="1090">
        <f t="shared" si="0"/>
        <v>1.0907269952119096</v>
      </c>
      <c r="H60" s="1067">
        <v>24066.181892503206</v>
      </c>
      <c r="I60" s="1129">
        <f>F60*$O$4*$AH$4+F60*$AH$5</f>
        <v>27280.54098540737</v>
      </c>
      <c r="J60" s="1130">
        <f>F60*$AH$4+F60*$O$5*$AH$5</f>
        <v>26841.721291803762</v>
      </c>
      <c r="K60" s="1130">
        <f>ROUND(F60*$O$4*$AH$4+F60*$O$5*$AH$5,1)</f>
        <v>28039.200000000001</v>
      </c>
      <c r="L60" s="1136">
        <f t="shared" si="1"/>
        <v>1.1725259790494909</v>
      </c>
      <c r="M60" s="1133" t="s">
        <v>380</v>
      </c>
      <c r="N60" s="1083">
        <f>'[5]СВОД и Численность 061023'!AV69</f>
        <v>66.1449906</v>
      </c>
      <c r="O60" s="1134">
        <f t="shared" si="58"/>
        <v>70.956687103044572</v>
      </c>
      <c r="P60" s="1134">
        <f t="shared" si="59"/>
        <v>69.815317079981583</v>
      </c>
      <c r="Q60" s="1134">
        <f t="shared" si="60"/>
        <v>72.929959199999999</v>
      </c>
      <c r="R60" s="1135"/>
      <c r="S60" s="1070">
        <f>'[5]СВОД и Численность 061023'!BF69</f>
        <v>9535146.5999999996</v>
      </c>
      <c r="T60" s="1071">
        <f>S60*'[5]СВОД и Численность 061023'!$AM$4</f>
        <v>3258378.5811258876</v>
      </c>
      <c r="U60" s="1071">
        <f>S60*'[5]СВОД и Численность 061023'!$AM$5</f>
        <v>6276768.0188741125</v>
      </c>
      <c r="V60" s="1222">
        <f>'[5]СВОД и Численность 061023'!BH69</f>
        <v>11508960.9</v>
      </c>
      <c r="W60" s="1222">
        <f>V60*'[5]СВОД и Численность 061023'!$AM$4</f>
        <v>3932876.2588270348</v>
      </c>
      <c r="X60" s="1222">
        <f>V60*'[5]СВОД и Численность 061023'!$AM$5</f>
        <v>7576084.641172966</v>
      </c>
      <c r="Y60" s="1071">
        <f>O60*$D$2*$F$3*$F$4/1000</f>
        <v>12251352.094967222</v>
      </c>
      <c r="Z60" s="1071">
        <f>P60*$D$2*$F$3*$F$4/1000</f>
        <v>12054283.621309781</v>
      </c>
      <c r="AA60" s="1070">
        <f t="shared" si="4"/>
        <v>10487080.17109872</v>
      </c>
      <c r="AB60" s="1071">
        <f t="shared" si="67"/>
        <v>3642973.7583509041</v>
      </c>
      <c r="AC60" s="1071">
        <f t="shared" si="68"/>
        <v>6844106.4127478162</v>
      </c>
      <c r="AD60" s="1070">
        <f t="shared" si="5"/>
        <v>12592056.434839623</v>
      </c>
      <c r="AE60" s="1071">
        <f t="shared" si="69"/>
        <v>4374194.7622574884</v>
      </c>
      <c r="AF60" s="1071">
        <f t="shared" si="70"/>
        <v>8217861.6725821346</v>
      </c>
      <c r="AG60" s="1072">
        <f t="shared" si="65"/>
        <v>1083095.5348396227</v>
      </c>
      <c r="AH60" s="1072">
        <f t="shared" si="7"/>
        <v>951933.57109872065</v>
      </c>
      <c r="AI60" s="1072">
        <f t="shared" si="66"/>
        <v>384595.17722501652</v>
      </c>
      <c r="AJ60" s="1072">
        <f t="shared" si="66"/>
        <v>567338.39387370367</v>
      </c>
      <c r="AK60" s="1072">
        <f>AA60*$F$4-'[5]СВОД и Численность 061023'!BG69-AH60</f>
        <v>123993.24642528966</v>
      </c>
      <c r="AL60" s="1072">
        <f>AD60-(AA60*$F$4)-('[5]СВОД и Численность 061023'!BH69-'[5]СВОД и Численность 061023'!BG69)</f>
        <v>7168.7173156123608</v>
      </c>
      <c r="AM60" s="1073">
        <f t="shared" si="9"/>
        <v>0</v>
      </c>
      <c r="AN60" s="137"/>
    </row>
    <row r="61" spans="1:77" ht="81" x14ac:dyDescent="0.4">
      <c r="A61" s="1190" t="s">
        <v>449</v>
      </c>
      <c r="B61" s="1163" t="s">
        <v>33</v>
      </c>
      <c r="C61" s="1164">
        <f>'[5]СВОД и Численность 061023'!O70</f>
        <v>962380.34218400007</v>
      </c>
      <c r="D61" s="1165">
        <f>'[5]СВОД и Численность 061023'!P70</f>
        <v>6.6760000000000005E-3</v>
      </c>
      <c r="E61" s="1166">
        <f>'[5]СВОД и Численность 061023'!AD70</f>
        <v>47371.6</v>
      </c>
      <c r="F61" s="1166">
        <f>'[5]СВОД и Численность 061023'!AJ70</f>
        <v>53684.2</v>
      </c>
      <c r="G61" s="1167">
        <f t="shared" si="0"/>
        <v>1.1332570569708433</v>
      </c>
      <c r="H61" s="1067">
        <v>61270.229992543165</v>
      </c>
      <c r="I61" s="1166">
        <f>(I62*D62+I63*D63)/D61</f>
        <v>62447.149215626683</v>
      </c>
      <c r="J61" s="1166">
        <f>(J62*D62+J63*D63)/D61</f>
        <v>58612.402140905295</v>
      </c>
      <c r="K61" s="1166">
        <f>(K62*D62+K63*D63)/D61</f>
        <v>63515.980811219844</v>
      </c>
      <c r="L61" s="1167">
        <f t="shared" si="1"/>
        <v>1.3408029454614125</v>
      </c>
      <c r="M61" s="1169" t="s">
        <v>380</v>
      </c>
      <c r="N61" s="1168">
        <f>'[5]СВОД и Численность 061023'!AV70</f>
        <v>364.1051228</v>
      </c>
      <c r="O61" s="1168">
        <f t="shared" si="58"/>
        <v>416.89716816352376</v>
      </c>
      <c r="P61" s="1168">
        <f t="shared" si="59"/>
        <v>391.2963966926838</v>
      </c>
      <c r="Q61" s="1168">
        <f t="shared" si="60"/>
        <v>424.0326878957037</v>
      </c>
      <c r="R61" s="1169"/>
      <c r="S61" s="1070">
        <f>'[5]СВОД и Численность 061023'!BF70</f>
        <v>52487659.199999996</v>
      </c>
      <c r="T61" s="1071">
        <f>S61*'[5]СВОД и Численность 061023'!$AK$4</f>
        <v>34774164.984537989</v>
      </c>
      <c r="U61" s="1071">
        <f>S61*'[5]СВОД и Численность 061023'!$AK$5</f>
        <v>17713494.215462007</v>
      </c>
      <c r="V61" s="1222">
        <f>'[5]СВОД и Численность 061023'!BH70</f>
        <v>63216742.600000001</v>
      </c>
      <c r="W61" s="1222">
        <f>V61*'[5]СВОД и Численность 061023'!$AK$4</f>
        <v>41882405.701900139</v>
      </c>
      <c r="X61" s="1222">
        <f>V61*'[5]СВОД и Численность 061023'!$AK$5</f>
        <v>21334336.898099862</v>
      </c>
      <c r="Y61" s="1070">
        <f>O61*$D$2*$F$3*$F$4/1000</f>
        <v>71981291.730105832</v>
      </c>
      <c r="Z61" s="1070">
        <f>P61*$D$2*$F$3*$F$4/1000</f>
        <v>67561073.171471983</v>
      </c>
      <c r="AA61" s="1070">
        <f t="shared" si="4"/>
        <v>60974458.808263347</v>
      </c>
      <c r="AB61" s="1071">
        <f>AA61*$AA$4</f>
        <v>40309895.789670438</v>
      </c>
      <c r="AC61" s="1071">
        <f>AA61*$AA$5</f>
        <v>20664563.018592905</v>
      </c>
      <c r="AD61" s="1070">
        <f t="shared" si="5"/>
        <v>73213307.600471511</v>
      </c>
      <c r="AE61" s="1071">
        <f>AD61*$AA$4</f>
        <v>48400934.710586391</v>
      </c>
      <c r="AF61" s="1071">
        <f>AD61*$AA$5</f>
        <v>24812372.889885124</v>
      </c>
      <c r="AG61" s="1072">
        <f t="shared" si="65"/>
        <v>9996565.00047151</v>
      </c>
      <c r="AH61" s="1072">
        <f t="shared" si="7"/>
        <v>8486799.608263351</v>
      </c>
      <c r="AI61" s="1072">
        <f t="shared" si="66"/>
        <v>5535730.8051324487</v>
      </c>
      <c r="AJ61" s="1072">
        <f t="shared" si="66"/>
        <v>2951068.8031308986</v>
      </c>
      <c r="AK61" s="1072">
        <f>AA61*$F$4-'[5]СВОД и Численность 061023'!BG70-AH61</f>
        <v>1306468.4219767302</v>
      </c>
      <c r="AL61" s="1072">
        <f>AD61-(AA61*$F$4)-('[5]СВОД и Численность 061023'!BH70-'[5]СВОД и Численность 061023'!BG70)</f>
        <v>203296.97023142874</v>
      </c>
      <c r="AM61" s="1073">
        <f t="shared" si="9"/>
        <v>0</v>
      </c>
      <c r="AN61" s="137"/>
    </row>
    <row r="62" spans="1:77" ht="51" x14ac:dyDescent="0.4">
      <c r="A62" s="1127" t="s">
        <v>108</v>
      </c>
      <c r="B62" s="1128" t="s">
        <v>33</v>
      </c>
      <c r="C62" s="1076">
        <f>'[5]СВОД и Численность 061023'!O71</f>
        <v>180181</v>
      </c>
      <c r="D62" s="1077">
        <f>'[5]СВОД и Численность 061023'!P71</f>
        <v>1.25E-3</v>
      </c>
      <c r="E62" s="1078">
        <f>'[5]СВОД и Численность 061023'!AD71</f>
        <v>62615.3</v>
      </c>
      <c r="F62" s="1079">
        <f>'[5]СВОД и Численность 061023'!AJ71</f>
        <v>87286.9</v>
      </c>
      <c r="G62" s="1090">
        <f t="shared" si="0"/>
        <v>1.3940187142759037</v>
      </c>
      <c r="H62" s="1067">
        <v>93952.829987641569</v>
      </c>
      <c r="I62" s="1129">
        <f t="shared" ref="I62" si="71">H62*$O$4*$Z$4+H62*$Z$5</f>
        <v>101756.92963820757</v>
      </c>
      <c r="J62" s="1130">
        <f t="shared" ref="J62" si="72">H62*$Z$4+H62*$O$5*$Z$5</f>
        <v>95508.25226599694</v>
      </c>
      <c r="K62" s="1131">
        <f>H62*$O$4*$Z$4+H62*$O$5*$Z$5</f>
        <v>103312.35191656294</v>
      </c>
      <c r="L62" s="1132">
        <f t="shared" si="1"/>
        <v>1.6499537959023263</v>
      </c>
      <c r="M62" s="1133" t="s">
        <v>895</v>
      </c>
      <c r="N62" s="1083">
        <f>'[5]СВОД и Численность 061023'!AV71</f>
        <v>109.10862499999999</v>
      </c>
      <c r="O62" s="1134">
        <f t="shared" si="58"/>
        <v>127.19616204775947</v>
      </c>
      <c r="P62" s="1134">
        <f t="shared" si="59"/>
        <v>119.38531533249618</v>
      </c>
      <c r="Q62" s="1134">
        <f t="shared" si="60"/>
        <v>129.14043989570368</v>
      </c>
      <c r="R62" s="1135"/>
      <c r="S62" s="1070">
        <f>'[5]СВОД и Численность 061023'!BF71</f>
        <v>15728579.4</v>
      </c>
      <c r="T62" s="1071">
        <f>S62*'[5]СВОД и Численность 061023'!$AK$4</f>
        <v>10420510.713649917</v>
      </c>
      <c r="U62" s="1071">
        <f>S62*'[5]СВОД и Численность 061023'!$AK$5</f>
        <v>5308068.6863500839</v>
      </c>
      <c r="V62" s="1222">
        <f>'[5]СВОД и Численность 061023'!BH71</f>
        <v>18848382.899999999</v>
      </c>
      <c r="W62" s="1222">
        <f>V62*'[5]СВОД и Численность 061023'!$AK$4</f>
        <v>12487445.366135601</v>
      </c>
      <c r="X62" s="1222">
        <f>V62*'[5]СВОД и Численность 061023'!$AK$5</f>
        <v>6360937.5338643976</v>
      </c>
      <c r="Y62" s="1071">
        <f>O62*$D$2*$F$4/1000</f>
        <v>21805257.091089807</v>
      </c>
      <c r="Z62" s="1071">
        <f>P62*$D$2*$F$4/1000</f>
        <v>20466242.47002396</v>
      </c>
      <c r="AA62" s="1070">
        <f t="shared" si="4"/>
        <v>18569956.179506544</v>
      </c>
      <c r="AB62" s="1071">
        <f t="shared" ref="AB62:AB63" si="73">AA62*$AA$4</f>
        <v>12276500.899639152</v>
      </c>
      <c r="AC62" s="1071">
        <f t="shared" ref="AC62:AC63" si="74">AA62*$AA$5</f>
        <v>6293455.279867392</v>
      </c>
      <c r="AD62" s="1070">
        <f>Q62*$D$2*$F$4/1000</f>
        <v>22138564.933468062</v>
      </c>
      <c r="AE62" s="1071">
        <f t="shared" ref="AE62:AE63" si="75">AD62*$AA$4</f>
        <v>14635689.481183393</v>
      </c>
      <c r="AF62" s="1071">
        <f t="shared" ref="AF62:AF63" si="76">AD62*$AA$5</f>
        <v>7502875.4522846704</v>
      </c>
      <c r="AG62" s="1072">
        <f t="shared" si="65"/>
        <v>3290182.0334680639</v>
      </c>
      <c r="AH62" s="1072">
        <f t="shared" si="7"/>
        <v>2841376.7795065437</v>
      </c>
      <c r="AI62" s="1072">
        <f t="shared" si="66"/>
        <v>1855990.1859892346</v>
      </c>
      <c r="AJ62" s="1072">
        <f t="shared" si="66"/>
        <v>985386.59351730812</v>
      </c>
      <c r="AK62" s="1072">
        <f>AA62*$F$4-'[5]СВОД и Численность 061023'!BG71-AH62</f>
        <v>448805.25396152399</v>
      </c>
      <c r="AL62" s="1072">
        <f>AD62-(AA62*$F$4)-('[5]СВОД и Численность 061023'!BH71-'[5]СВОД и Численность 061023'!BG71)</f>
        <v>-3.7252902984619141E-9</v>
      </c>
      <c r="AM62" s="1073">
        <f t="shared" si="9"/>
        <v>0</v>
      </c>
      <c r="AN62" s="137"/>
    </row>
    <row r="63" spans="1:77" ht="78" customHeight="1" x14ac:dyDescent="0.4">
      <c r="A63" s="1127" t="s">
        <v>109</v>
      </c>
      <c r="B63" s="1128" t="s">
        <v>33</v>
      </c>
      <c r="C63" s="1076">
        <f>'[5]СВОД и Численность 061023'!O72</f>
        <v>782186.29968400009</v>
      </c>
      <c r="D63" s="1077">
        <f>'[5]СВОД и Численность 061023'!P72</f>
        <v>5.4260000000000003E-3</v>
      </c>
      <c r="E63" s="1078">
        <f>'[5]СВОД и Численность 061023'!AD72</f>
        <v>43499.8</v>
      </c>
      <c r="F63" s="1079">
        <f>'[5]СВОД и Численность 061023'!AJ72</f>
        <v>49296.5</v>
      </c>
      <c r="G63" s="1090">
        <f t="shared" si="0"/>
        <v>1.1332580839452135</v>
      </c>
      <c r="H63" s="1067">
        <v>53210.557011933357</v>
      </c>
      <c r="I63" s="1129">
        <f>F63*$O$4*$Z$4+F63*$Z$5</f>
        <v>53391.265410203516</v>
      </c>
      <c r="J63" s="1130">
        <f>F63*$Z$4+F63*$O$5*$Z$5</f>
        <v>50112.620965755181</v>
      </c>
      <c r="K63" s="1130">
        <f>ROUND(F63*$O$4*$AA$4+F63*$O$5*$AA$5,1)</f>
        <v>54348</v>
      </c>
      <c r="L63" s="1136">
        <f t="shared" si="1"/>
        <v>1.2493850546439293</v>
      </c>
      <c r="M63" s="1133" t="s">
        <v>380</v>
      </c>
      <c r="N63" s="1083">
        <f>'[5]СВОД и Численность 061023'!AV72</f>
        <v>254.99649780000001</v>
      </c>
      <c r="O63" s="1134">
        <f t="shared" si="58"/>
        <v>289.7010061157643</v>
      </c>
      <c r="P63" s="1134">
        <f t="shared" si="59"/>
        <v>271.91108136018761</v>
      </c>
      <c r="Q63" s="1134">
        <f t="shared" si="60"/>
        <v>294.892248</v>
      </c>
      <c r="R63" s="1135"/>
      <c r="S63" s="1070">
        <f>'[5]СВОД и Численность 061023'!BF72</f>
        <v>36759079.799999997</v>
      </c>
      <c r="T63" s="1071">
        <f>S63*'[5]СВОД и Численность 061023'!$AK$4</f>
        <v>24353654.270888075</v>
      </c>
      <c r="U63" s="1071">
        <f>S63*'[5]СВОД и Численность 061023'!$AK$5</f>
        <v>12405425.529111922</v>
      </c>
      <c r="V63" s="1222">
        <f>'[5]СВОД и Численность 061023'!BH72</f>
        <v>44368359.700000003</v>
      </c>
      <c r="W63" s="1222">
        <f>V63*'[5]СВОД и Численность 061023'!$AK$4</f>
        <v>29394960.335764538</v>
      </c>
      <c r="X63" s="1222">
        <f>V63*'[5]СВОД и Численность 061023'!$AK$5</f>
        <v>14973399.364235463</v>
      </c>
      <c r="Y63" s="1071">
        <f>O63*$D$2*$F$3*$F$4/1000</f>
        <v>50019655.272747271</v>
      </c>
      <c r="Z63" s="1071">
        <f>P63*$D$2*$F$3*$F$4/1000</f>
        <v>46948054.26061105</v>
      </c>
      <c r="AA63" s="1070">
        <f t="shared" si="4"/>
        <v>42404502.628756799</v>
      </c>
      <c r="AB63" s="1071">
        <f t="shared" si="73"/>
        <v>28033394.890031286</v>
      </c>
      <c r="AC63" s="1071">
        <f t="shared" si="74"/>
        <v>14371107.738725513</v>
      </c>
      <c r="AD63" s="1070">
        <f t="shared" si="5"/>
        <v>50915972.938220449</v>
      </c>
      <c r="AE63" s="1071">
        <f t="shared" si="75"/>
        <v>33660283.392153695</v>
      </c>
      <c r="AF63" s="1071">
        <f t="shared" si="76"/>
        <v>17255689.54606675</v>
      </c>
      <c r="AG63" s="1072">
        <f t="shared" si="65"/>
        <v>6547613.2382204458</v>
      </c>
      <c r="AH63" s="1072">
        <f t="shared" si="7"/>
        <v>5645422.8287568018</v>
      </c>
      <c r="AI63" s="1072">
        <f t="shared" si="66"/>
        <v>3679740.6191432104</v>
      </c>
      <c r="AJ63" s="1072">
        <f t="shared" si="66"/>
        <v>1965682.2096135914</v>
      </c>
      <c r="AK63" s="1072">
        <f>AA63*$F$4-'[5]СВОД и Численность 061023'!BG72-AH63</f>
        <v>857663.16801520437</v>
      </c>
      <c r="AL63" s="1072">
        <f>AD63-(AA63*$F$4)-('[5]СВОД и Численность 061023'!BH72-'[5]СВОД и Численность 061023'!BG72)</f>
        <v>44527.241448439658</v>
      </c>
      <c r="AM63" s="1073">
        <f t="shared" si="9"/>
        <v>0</v>
      </c>
      <c r="AN63" s="137"/>
    </row>
    <row r="64" spans="1:77" s="75" customFormat="1" ht="24.95" customHeight="1" x14ac:dyDescent="0.4">
      <c r="A64" s="1191" t="s">
        <v>117</v>
      </c>
      <c r="B64" s="1192" t="s">
        <v>87</v>
      </c>
      <c r="C64" s="1076"/>
      <c r="D64" s="1077" t="str">
        <f>'[5]СВОД и Численность 061023'!P73</f>
        <v>x</v>
      </c>
      <c r="E64" s="1078">
        <f>'[5]СВОД и Численность 061023'!AH73</f>
        <v>0</v>
      </c>
      <c r="F64" s="1079" t="str">
        <f>'[5]СВОД и Численность 061023'!AI73</f>
        <v>x</v>
      </c>
      <c r="G64" s="1079"/>
      <c r="H64" s="1067"/>
      <c r="I64" s="1193" t="s">
        <v>87</v>
      </c>
      <c r="J64" s="1194" t="s">
        <v>87</v>
      </c>
      <c r="K64" s="1194" t="s">
        <v>87</v>
      </c>
      <c r="L64" s="1194"/>
      <c r="M64" s="1193"/>
      <c r="N64" s="1195">
        <f>'[5]СВОД и Численность 061023'!AV73</f>
        <v>280.79149999999998</v>
      </c>
      <c r="O64" s="1195">
        <f t="shared" ref="O64" si="77">N64*$O$4*$Z$4+N64*$Z$5</f>
        <v>304.11517047719741</v>
      </c>
      <c r="P64" s="1195">
        <f t="shared" ref="P64" si="78">N64*$Z$4+N64*$O$5*$Z$5</f>
        <v>285.44010243943978</v>
      </c>
      <c r="Q64" s="1195">
        <f>(N64*[5]Параметры!O10*[5]Параметры!B10+'Индексация 2353 с уч роста зп'!N64*[5]Параметры!O11*[5]Параметры!B11)</f>
        <v>310.52181633660001</v>
      </c>
      <c r="R64" s="1092"/>
      <c r="S64" s="1070">
        <f>'[5]СВОД и Численность 061023'!BF73</f>
        <v>40477215.5</v>
      </c>
      <c r="T64" s="1071">
        <f>S64*'[5]СВОД и Численность 061023'!$AF$4</f>
        <v>26115856.566144176</v>
      </c>
      <c r="U64" s="1071">
        <f>S64*'[5]СВОД и Численность 061023'!$AF$5</f>
        <v>14361358.933855824</v>
      </c>
      <c r="V64" s="1222">
        <f>'[5]СВОД и Численность 061023'!BH73</f>
        <v>48856164.700000003</v>
      </c>
      <c r="W64" s="1222">
        <f>V64*'[5]СВОД и Численность 061023'!$AF$4</f>
        <v>31521945.714796424</v>
      </c>
      <c r="X64" s="1222">
        <f>V64*'[5]СВОД и Численность 061023'!$AF$5</f>
        <v>17334218.985203579</v>
      </c>
      <c r="Y64" s="1070">
        <f>O64*$D$2*$F$3*$F$4/1000</f>
        <v>52508398.898703113</v>
      </c>
      <c r="Z64" s="1070">
        <f>P64*$D$2*$F$3*$F$4/1000</f>
        <v>49283969.41546388</v>
      </c>
      <c r="AA64" s="1070">
        <f t="shared" si="4"/>
        <v>44651981.415027536</v>
      </c>
      <c r="AB64" s="1071">
        <f>AA64*$R$4</f>
        <v>29777242.639390577</v>
      </c>
      <c r="AC64" s="1071">
        <f>AA64*$R$5</f>
        <v>14874738.775636962</v>
      </c>
      <c r="AD64" s="1070">
        <f t="shared" si="5"/>
        <v>53614567.709224381</v>
      </c>
      <c r="AE64" s="1071">
        <f>AD64*$R$4</f>
        <v>35754157.846762709</v>
      </c>
      <c r="AF64" s="1071">
        <f>AD64*$R$5</f>
        <v>17860409.862461675</v>
      </c>
      <c r="AG64" s="1196">
        <f t="shared" si="65"/>
        <v>4758403.0092243776</v>
      </c>
      <c r="AH64" s="1072">
        <f t="shared" si="7"/>
        <v>4174765.9150275365</v>
      </c>
      <c r="AI64" s="1072">
        <f t="shared" si="66"/>
        <v>3661386.0732464008</v>
      </c>
      <c r="AJ64" s="1072">
        <f t="shared" si="66"/>
        <v>513379.84178113751</v>
      </c>
      <c r="AK64" s="1072">
        <f>AA64*$F$4-'[5]СВОД и Численность 061023'!BG74-AH64</f>
        <v>552062.02020258456</v>
      </c>
      <c r="AL64" s="1072">
        <f>AD64-(AA64*$F$4)-('[5]СВОД и Численность 061023'!BH74-'[5]СВОД и Численность 061023'!BG74)</f>
        <v>31575.073994256556</v>
      </c>
      <c r="AM64" s="1073">
        <f t="shared" si="9"/>
        <v>0</v>
      </c>
      <c r="AN64" s="137"/>
    </row>
    <row r="65" spans="1:77" s="75" customFormat="1" ht="24.95" customHeight="1" x14ac:dyDescent="0.4">
      <c r="A65" s="1197" t="s">
        <v>427</v>
      </c>
      <c r="B65" s="1192"/>
      <c r="C65" s="1076"/>
      <c r="D65" s="1077"/>
      <c r="E65" s="1078"/>
      <c r="F65" s="1079"/>
      <c r="G65" s="1079"/>
      <c r="H65" s="1067"/>
      <c r="I65" s="1193"/>
      <c r="J65" s="1194"/>
      <c r="K65" s="1194"/>
      <c r="L65" s="1194"/>
      <c r="M65" s="1193"/>
      <c r="N65" s="1195"/>
      <c r="O65" s="1195"/>
      <c r="P65" s="1195"/>
      <c r="Q65" s="1195"/>
      <c r="R65" s="1092"/>
      <c r="S65" s="1070">
        <f t="shared" ref="S65:AF65" si="79">S10+S12+S33+S49+S57+S60+S63+S64</f>
        <v>2585062492.2000003</v>
      </c>
      <c r="T65" s="1071">
        <f t="shared" si="79"/>
        <v>1684077901.7811036</v>
      </c>
      <c r="U65" s="1071">
        <f t="shared" si="79"/>
        <v>900984590.41889644</v>
      </c>
      <c r="V65" s="1222">
        <f t="shared" si="79"/>
        <v>3120181003.4000001</v>
      </c>
      <c r="W65" s="1222">
        <f t="shared" si="79"/>
        <v>2032688916.9371901</v>
      </c>
      <c r="X65" s="1222">
        <f t="shared" si="79"/>
        <v>1087492086.46281</v>
      </c>
      <c r="Y65" s="1070">
        <f t="shared" si="79"/>
        <v>3463658253.3773761</v>
      </c>
      <c r="Z65" s="1198">
        <f t="shared" si="79"/>
        <v>3221624787.2369199</v>
      </c>
      <c r="AA65" s="1198">
        <f t="shared" si="79"/>
        <v>2919951642.4997005</v>
      </c>
      <c r="AB65" s="1198">
        <f t="shared" si="79"/>
        <v>1973478998.6226802</v>
      </c>
      <c r="AC65" s="1198">
        <f t="shared" si="79"/>
        <v>946472643.87702012</v>
      </c>
      <c r="AD65" s="1070">
        <f t="shared" si="79"/>
        <v>3506046990.1515694</v>
      </c>
      <c r="AE65" s="1198">
        <f t="shared" si="79"/>
        <v>2369597496.9383731</v>
      </c>
      <c r="AF65" s="1198">
        <f t="shared" si="79"/>
        <v>1136449493.2131963</v>
      </c>
      <c r="AG65" s="1196">
        <f t="shared" si="65"/>
        <v>385865986.75156927</v>
      </c>
      <c r="AH65" s="1072">
        <f t="shared" si="7"/>
        <v>334889150.29970026</v>
      </c>
      <c r="AI65" s="1072">
        <f t="shared" si="66"/>
        <v>289401096.84157658</v>
      </c>
      <c r="AJ65" s="1072">
        <f t="shared" si="66"/>
        <v>45488053.458123684</v>
      </c>
      <c r="AK65" s="1072">
        <f>AA65*$F$4-'[5]СВОД и Численность 061023'!BG81-AH65</f>
        <v>48376614.378025055</v>
      </c>
      <c r="AL65" s="1072">
        <f>AD65-(AA65*$F$4)-('[5]СВОД и Численность 061023'!BH81-'[5]СВОД и Численность 061023'!BG81)</f>
        <v>2600221.7738442421</v>
      </c>
      <c r="AM65" s="1073">
        <f t="shared" si="9"/>
        <v>0.29999971389770508</v>
      </c>
      <c r="AN65" s="137"/>
    </row>
    <row r="66" spans="1:77" s="75" customFormat="1" ht="24.75" customHeight="1" x14ac:dyDescent="0.4">
      <c r="A66" s="1197" t="s">
        <v>365</v>
      </c>
      <c r="B66" s="1192"/>
      <c r="C66" s="1076"/>
      <c r="D66" s="1077"/>
      <c r="E66" s="1078"/>
      <c r="F66" s="1079"/>
      <c r="G66" s="1079"/>
      <c r="H66" s="1067"/>
      <c r="I66" s="1193"/>
      <c r="J66" s="1194"/>
      <c r="K66" s="1194"/>
      <c r="L66" s="1194"/>
      <c r="M66" s="1193"/>
      <c r="N66" s="1195"/>
      <c r="O66" s="1195"/>
      <c r="P66" s="1195"/>
      <c r="Q66" s="1195"/>
      <c r="R66" s="1199"/>
      <c r="S66" s="1070">
        <f t="shared" ref="S66:AF66" si="80">S32+S48+S59+S62</f>
        <v>178339536.09999999</v>
      </c>
      <c r="T66" s="1071">
        <f t="shared" si="80"/>
        <v>101762958.63440442</v>
      </c>
      <c r="U66" s="1071">
        <f t="shared" si="80"/>
        <v>76576577.465595573</v>
      </c>
      <c r="V66" s="1222">
        <f t="shared" si="80"/>
        <v>213713725.59999999</v>
      </c>
      <c r="W66" s="1222">
        <f t="shared" si="80"/>
        <v>121947953.6401822</v>
      </c>
      <c r="X66" s="1222">
        <f t="shared" si="80"/>
        <v>91765771.959817767</v>
      </c>
      <c r="Y66" s="1198">
        <f t="shared" si="80"/>
        <v>238879544.16187066</v>
      </c>
      <c r="Z66" s="1198">
        <f t="shared" si="80"/>
        <v>225431968.40108383</v>
      </c>
      <c r="AA66" s="1198">
        <f t="shared" si="80"/>
        <v>205063456.43336427</v>
      </c>
      <c r="AB66" s="1198">
        <f t="shared" si="80"/>
        <v>122958527.59617284</v>
      </c>
      <c r="AC66" s="1198">
        <f t="shared" si="80"/>
        <v>82104928.837191448</v>
      </c>
      <c r="AD66" s="1070">
        <f t="shared" si="80"/>
        <v>244470724.74740058</v>
      </c>
      <c r="AE66" s="1198">
        <f t="shared" si="80"/>
        <v>146587602.09222162</v>
      </c>
      <c r="AF66" s="1198">
        <f t="shared" si="80"/>
        <v>97883122.655178934</v>
      </c>
      <c r="AG66" s="1196">
        <f t="shared" si="65"/>
        <v>30756999.147400588</v>
      </c>
      <c r="AH66" s="1072">
        <f t="shared" si="7"/>
        <v>26723920.333364278</v>
      </c>
      <c r="AI66" s="1072">
        <f t="shared" si="66"/>
        <v>21195568.961768419</v>
      </c>
      <c r="AJ66" s="1072">
        <f t="shared" si="66"/>
        <v>5528351.3715958744</v>
      </c>
      <c r="AK66" s="1072">
        <f>AA66*$F$4-'[5]СВОД и Численность 061023'!BG83-AH66</f>
        <v>4033143.4558596611</v>
      </c>
      <c r="AL66" s="1072">
        <f>AD66-(AA66*$F$4)-('[5]СВОД и Численность 061023'!BH83-'[5]СВОД и Численность 061023'!BG83)</f>
        <v>0</v>
      </c>
      <c r="AM66" s="1073">
        <f t="shared" si="9"/>
        <v>-64.641823351383209</v>
      </c>
      <c r="AN66" s="137"/>
    </row>
    <row r="67" spans="1:77" ht="23.25" x14ac:dyDescent="0.35">
      <c r="Q67" s="135"/>
      <c r="R67" s="1200"/>
      <c r="S67" s="78"/>
      <c r="T67" s="1201"/>
      <c r="U67" s="1201"/>
      <c r="V67" s="1223"/>
      <c r="W67" s="1223"/>
      <c r="X67" s="1223"/>
      <c r="Y67" s="78"/>
    </row>
    <row r="68" spans="1:77" ht="26.25" x14ac:dyDescent="0.4">
      <c r="N68" s="157"/>
      <c r="R68" s="1200"/>
    </row>
    <row r="69" spans="1:77" ht="26.25" x14ac:dyDescent="0.4">
      <c r="N69" s="157"/>
      <c r="R69" s="1200"/>
    </row>
    <row r="70" spans="1:77" ht="108.75" customHeight="1" x14ac:dyDescent="0.25">
      <c r="A70" s="1202"/>
      <c r="B70" s="1202" t="s">
        <v>897</v>
      </c>
      <c r="C70" s="1202" t="s">
        <v>898</v>
      </c>
      <c r="D70" s="1203" t="s">
        <v>899</v>
      </c>
      <c r="E70" s="1203"/>
      <c r="F70" s="1204" t="s">
        <v>900</v>
      </c>
      <c r="G70" s="1204"/>
      <c r="H70" s="1204" t="s">
        <v>901</v>
      </c>
      <c r="I70" s="213"/>
      <c r="K70" s="1204" t="s">
        <v>902</v>
      </c>
      <c r="L70" s="1204"/>
      <c r="M70" s="1205" t="s">
        <v>903</v>
      </c>
    </row>
    <row r="71" spans="1:77" ht="54" customHeight="1" x14ac:dyDescent="0.25">
      <c r="A71" s="1206" t="s">
        <v>904</v>
      </c>
      <c r="B71" s="1207">
        <f>V65</f>
        <v>3120181003.4000001</v>
      </c>
      <c r="C71" s="1207">
        <v>3639723833.500001</v>
      </c>
      <c r="D71" s="1078">
        <f>C71-B71</f>
        <v>519542830.10000086</v>
      </c>
      <c r="E71" s="1078"/>
      <c r="F71" s="1208">
        <f>AG65</f>
        <v>385865986.75156927</v>
      </c>
      <c r="G71" s="1208"/>
      <c r="H71" s="1208">
        <f>D71-F71</f>
        <v>133676843.34843159</v>
      </c>
      <c r="I71" s="213"/>
      <c r="K71" s="1208">
        <f>'[2]!!!!Сравнение (хотелки)'!$J$86</f>
        <v>95812903.718212232</v>
      </c>
      <c r="L71" s="1208"/>
      <c r="M71" s="1079">
        <f>H71-K71</f>
        <v>37863939.630219355</v>
      </c>
    </row>
    <row r="72" spans="1:77" ht="54" customHeight="1" x14ac:dyDescent="0.25">
      <c r="A72" s="1206" t="s">
        <v>365</v>
      </c>
      <c r="B72" s="1207">
        <f>V66</f>
        <v>213713725.59999999</v>
      </c>
      <c r="C72" s="1207">
        <v>250867246.336</v>
      </c>
      <c r="D72" s="1078">
        <f>C72-B72</f>
        <v>37153520.736000001</v>
      </c>
      <c r="E72" s="1078"/>
      <c r="F72" s="1208">
        <f>AG66</f>
        <v>30756999.147400588</v>
      </c>
      <c r="G72" s="1208"/>
      <c r="H72" s="1208">
        <f>D72-F72</f>
        <v>6396521.5885994136</v>
      </c>
      <c r="I72" s="213"/>
      <c r="K72" s="1208">
        <v>10181432.300000001</v>
      </c>
      <c r="L72" s="1208"/>
      <c r="M72" s="1079">
        <f>H72-K72</f>
        <v>-3784910.7114005871</v>
      </c>
    </row>
    <row r="74" spans="1:77" s="223" customFormat="1" ht="26.25" x14ac:dyDescent="0.4">
      <c r="A74" s="79"/>
      <c r="B74" s="74"/>
      <c r="C74" s="157"/>
      <c r="F74" s="74"/>
      <c r="G74" s="74"/>
      <c r="H74" s="74"/>
      <c r="I74" s="74"/>
      <c r="J74" s="213"/>
      <c r="K74" s="213"/>
      <c r="L74" s="213"/>
      <c r="M74" s="246"/>
      <c r="N74" s="74"/>
      <c r="O74" s="74"/>
      <c r="P74" s="74"/>
      <c r="Q74" s="74"/>
      <c r="R74" s="781"/>
      <c r="S74" s="74"/>
      <c r="T74" s="76"/>
      <c r="U74" s="76"/>
      <c r="V74" s="483"/>
      <c r="W74" s="483"/>
      <c r="X74" s="483"/>
      <c r="Y74" s="74"/>
      <c r="Z74" s="74"/>
      <c r="AA74" s="74"/>
      <c r="AB74" s="76"/>
      <c r="AC74" s="76"/>
      <c r="AD74" s="74"/>
      <c r="AE74" s="74"/>
      <c r="AF74" s="74"/>
      <c r="AG74" s="74"/>
      <c r="AH74" s="74"/>
      <c r="AI74" s="74"/>
      <c r="AJ74" s="74"/>
      <c r="AK74" s="74"/>
      <c r="AL74" s="74"/>
      <c r="AM74" s="15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</row>
  </sheetData>
  <mergeCells count="37">
    <mergeCell ref="J7:J8"/>
    <mergeCell ref="D1:F1"/>
    <mergeCell ref="R1:AH1"/>
    <mergeCell ref="A6:A8"/>
    <mergeCell ref="B6:B8"/>
    <mergeCell ref="C6:D6"/>
    <mergeCell ref="E6:M6"/>
    <mergeCell ref="N6:R6"/>
    <mergeCell ref="S6:AD6"/>
    <mergeCell ref="AG6:AL6"/>
    <mergeCell ref="C7:D7"/>
    <mergeCell ref="E7:E8"/>
    <mergeCell ref="F7:F8"/>
    <mergeCell ref="G7:G8"/>
    <mergeCell ref="H7:H8"/>
    <mergeCell ref="I7:I8"/>
    <mergeCell ref="Y7:Y8"/>
    <mergeCell ref="K7:K8"/>
    <mergeCell ref="L7:L8"/>
    <mergeCell ref="M7:M8"/>
    <mergeCell ref="O7:O8"/>
    <mergeCell ref="P7:P8"/>
    <mergeCell ref="Q7:Q8"/>
    <mergeCell ref="R7:R8"/>
    <mergeCell ref="S7:S8"/>
    <mergeCell ref="T7:U7"/>
    <mergeCell ref="V7:V8"/>
    <mergeCell ref="W7:X7"/>
    <mergeCell ref="AH7:AJ7"/>
    <mergeCell ref="AK7:AK8"/>
    <mergeCell ref="AL7:AL8"/>
    <mergeCell ref="Z7:Z8"/>
    <mergeCell ref="AA7:AA8"/>
    <mergeCell ref="AB7:AC7"/>
    <mergeCell ref="AD7:AD8"/>
    <mergeCell ref="AE7:AF7"/>
    <mergeCell ref="AG7:AG8"/>
  </mergeCells>
  <conditionalFormatting sqref="AH1:AL1 AH2:AH5 AL7 AM8 AH10:AL10 AM10:AM66 AH12:AL1048576">
    <cfRule type="cellIs" dxfId="15" priority="2" operator="lessThan">
      <formula>0</formula>
    </cfRule>
  </conditionalFormatting>
  <pageMargins left="0.23622047244094491" right="0.23622047244094491" top="0.15748031496062992" bottom="0.19685039370078741" header="0.15748031496062992" footer="0.15748031496062992"/>
  <pageSetup paperSize="8" scale="1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6469-2A1D-4D0C-ADB2-CB96C80DFFF6}">
  <sheetPr>
    <pageSetUpPr fitToPage="1"/>
  </sheetPr>
  <dimension ref="A1:AE42"/>
  <sheetViews>
    <sheetView zoomScale="40" zoomScaleNormal="40" zoomScaleSheetLayoutView="40" workbookViewId="0">
      <pane xSplit="1" ySplit="7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Q12" sqref="Q12"/>
    </sheetView>
  </sheetViews>
  <sheetFormatPr defaultColWidth="9.140625" defaultRowHeight="15" x14ac:dyDescent="0.25"/>
  <cols>
    <col min="1" max="1" width="82.5703125" style="868" customWidth="1"/>
    <col min="2" max="2" width="32.42578125" style="868" customWidth="1"/>
    <col min="3" max="3" width="30.42578125" style="868" customWidth="1"/>
    <col min="4" max="4" width="30.42578125" style="935" customWidth="1"/>
    <col min="5" max="6" width="30.42578125" style="868" customWidth="1"/>
    <col min="7" max="8" width="30.42578125" style="935" customWidth="1"/>
    <col min="9" max="9" width="31.7109375" style="868" customWidth="1"/>
    <col min="10" max="10" width="55.28515625" style="868" customWidth="1"/>
    <col min="11" max="11" width="31.7109375" style="868" customWidth="1"/>
    <col min="12" max="12" width="36.7109375" style="881" customWidth="1"/>
    <col min="13" max="13" width="31.7109375" style="935" customWidth="1"/>
    <col min="14" max="15" width="31.7109375" style="868" customWidth="1"/>
    <col min="16" max="16" width="45.28515625" style="882" customWidth="1"/>
    <col min="17" max="17" width="37.85546875" style="935" customWidth="1"/>
    <col min="18" max="18" width="37.85546875" style="883" hidden="1" customWidth="1"/>
    <col min="19" max="19" width="53.28515625" style="883" hidden="1" customWidth="1"/>
    <col min="20" max="20" width="31.7109375" style="868" customWidth="1"/>
    <col min="21" max="21" width="50" style="868" customWidth="1"/>
    <col min="22" max="22" width="37.42578125" style="868" customWidth="1"/>
    <col min="23" max="23" width="44.5703125" style="881" customWidth="1"/>
    <col min="24" max="24" width="37.42578125" style="868" customWidth="1"/>
    <col min="25" max="25" width="47.140625" style="882" customWidth="1"/>
    <col min="26" max="26" width="37.7109375" style="883" hidden="1" customWidth="1"/>
    <col min="27" max="27" width="27.140625" style="868" customWidth="1"/>
    <col min="28" max="28" width="41.5703125" style="868" customWidth="1"/>
    <col min="29" max="29" width="27.140625" style="868" customWidth="1"/>
    <col min="30" max="30" width="25.42578125" style="868" customWidth="1"/>
    <col min="31" max="16384" width="9.140625" style="868"/>
  </cols>
  <sheetData>
    <row r="1" spans="1:31" s="731" customFormat="1" ht="26.25" x14ac:dyDescent="0.4">
      <c r="A1" s="1518" t="s">
        <v>534</v>
      </c>
      <c r="B1" s="1518"/>
      <c r="C1" s="1518"/>
      <c r="D1" s="1518"/>
      <c r="E1" s="1518"/>
      <c r="F1" s="1518"/>
      <c r="G1" s="1518"/>
      <c r="H1" s="1518"/>
      <c r="I1" s="1518"/>
      <c r="J1" s="1518"/>
      <c r="K1" s="1518"/>
      <c r="L1" s="1518"/>
      <c r="M1" s="1518"/>
      <c r="N1" s="1518"/>
      <c r="O1" s="1518"/>
      <c r="P1" s="1518"/>
      <c r="Q1" s="1518"/>
      <c r="R1" s="1518"/>
      <c r="S1" s="1518"/>
      <c r="T1" s="1518"/>
      <c r="U1" s="1518"/>
      <c r="V1" s="1518"/>
      <c r="W1" s="1518"/>
      <c r="X1" s="1518"/>
      <c r="Y1" s="1518"/>
      <c r="Z1" s="1518"/>
      <c r="AA1" s="1518"/>
      <c r="AB1" s="1518"/>
      <c r="AC1" s="1518"/>
      <c r="AD1" s="1518"/>
    </row>
    <row r="2" spans="1:31" s="731" customFormat="1" ht="26.25" x14ac:dyDescent="0.4">
      <c r="A2" s="730"/>
      <c r="B2" s="730"/>
      <c r="C2" s="730"/>
      <c r="D2" s="845"/>
      <c r="E2" s="730"/>
      <c r="F2" s="730"/>
      <c r="G2" s="845"/>
      <c r="H2" s="845"/>
      <c r="I2" s="730"/>
      <c r="J2" s="730"/>
      <c r="K2" s="730"/>
      <c r="L2" s="856"/>
      <c r="M2" s="845"/>
      <c r="N2" s="730"/>
      <c r="O2" s="730"/>
      <c r="P2" s="857"/>
      <c r="Q2" s="845"/>
      <c r="R2" s="858"/>
      <c r="S2" s="858"/>
      <c r="T2" s="730"/>
      <c r="U2" s="730"/>
      <c r="V2" s="730"/>
      <c r="W2" s="856"/>
      <c r="X2" s="730"/>
      <c r="Y2" s="857"/>
      <c r="Z2" s="858"/>
      <c r="AA2" s="730"/>
      <c r="AB2" s="730"/>
      <c r="AC2" s="730"/>
      <c r="AD2" s="730"/>
    </row>
    <row r="3" spans="1:31" s="731" customFormat="1" ht="27" thickBot="1" x14ac:dyDescent="0.45">
      <c r="D3" s="846"/>
      <c r="G3" s="846"/>
      <c r="H3" s="846"/>
      <c r="L3" s="859"/>
      <c r="M3" s="846"/>
      <c r="P3" s="860"/>
      <c r="Q3" s="846"/>
      <c r="R3" s="861"/>
      <c r="S3" s="861"/>
      <c r="W3" s="859"/>
      <c r="Y3" s="860"/>
      <c r="Z3" s="861"/>
    </row>
    <row r="4" spans="1:31" s="731" customFormat="1" ht="57" customHeight="1" x14ac:dyDescent="0.4">
      <c r="A4" s="1519" t="s">
        <v>83</v>
      </c>
      <c r="B4" s="1521" t="s">
        <v>84</v>
      </c>
      <c r="C4" s="1523" t="s">
        <v>473</v>
      </c>
      <c r="D4" s="1524"/>
      <c r="E4" s="1524"/>
      <c r="F4" s="1524"/>
      <c r="G4" s="1524"/>
      <c r="H4" s="943"/>
      <c r="I4" s="1525" t="s">
        <v>717</v>
      </c>
      <c r="J4" s="1525" t="s">
        <v>718</v>
      </c>
      <c r="K4" s="1523" t="s">
        <v>379</v>
      </c>
      <c r="L4" s="1524"/>
      <c r="M4" s="1524"/>
      <c r="N4" s="1524"/>
      <c r="O4" s="1524"/>
      <c r="P4" s="1524"/>
      <c r="Q4" s="1524"/>
      <c r="R4" s="1524"/>
      <c r="S4" s="1526"/>
      <c r="T4" s="1525" t="s">
        <v>717</v>
      </c>
      <c r="U4" s="1527" t="s">
        <v>718</v>
      </c>
      <c r="V4" s="1530" t="s">
        <v>474</v>
      </c>
      <c r="W4" s="1530"/>
      <c r="X4" s="1530"/>
      <c r="Y4" s="1530"/>
      <c r="Z4" s="1530"/>
      <c r="AA4" s="1531" t="s">
        <v>535</v>
      </c>
      <c r="AB4" s="1531"/>
      <c r="AC4" s="1531"/>
      <c r="AD4" s="1532"/>
    </row>
    <row r="5" spans="1:31" s="731" customFormat="1" ht="63.75" customHeight="1" x14ac:dyDescent="0.4">
      <c r="A5" s="1520"/>
      <c r="B5" s="1522"/>
      <c r="C5" s="1533" t="s">
        <v>532</v>
      </c>
      <c r="D5" s="1534" t="s">
        <v>835</v>
      </c>
      <c r="E5" s="1525" t="s">
        <v>719</v>
      </c>
      <c r="F5" s="1525" t="s">
        <v>720</v>
      </c>
      <c r="G5" s="1535" t="s">
        <v>850</v>
      </c>
      <c r="H5" s="944"/>
      <c r="I5" s="1525"/>
      <c r="J5" s="1525"/>
      <c r="K5" s="1525" t="s">
        <v>721</v>
      </c>
      <c r="L5" s="1547" t="s">
        <v>837</v>
      </c>
      <c r="M5" s="1534" t="s">
        <v>838</v>
      </c>
      <c r="N5" s="1525" t="s">
        <v>722</v>
      </c>
      <c r="O5" s="1525" t="s">
        <v>851</v>
      </c>
      <c r="P5" s="1540" t="s">
        <v>852</v>
      </c>
      <c r="Q5" s="1534" t="s">
        <v>853</v>
      </c>
      <c r="R5" s="1541" t="s">
        <v>839</v>
      </c>
      <c r="S5" s="1541" t="s">
        <v>840</v>
      </c>
      <c r="T5" s="1525"/>
      <c r="U5" s="1528"/>
      <c r="V5" s="1533" t="s">
        <v>532</v>
      </c>
      <c r="W5" s="1545" t="s">
        <v>841</v>
      </c>
      <c r="X5" s="1542" t="s">
        <v>720</v>
      </c>
      <c r="Y5" s="1540" t="s">
        <v>850</v>
      </c>
      <c r="Z5" s="1537" t="s">
        <v>836</v>
      </c>
      <c r="AA5" s="1525" t="s">
        <v>475</v>
      </c>
      <c r="AB5" s="1525"/>
      <c r="AC5" s="1525" t="s">
        <v>371</v>
      </c>
      <c r="AD5" s="1539"/>
    </row>
    <row r="6" spans="1:31" s="731" customFormat="1" ht="107.25" customHeight="1" x14ac:dyDescent="0.4">
      <c r="A6" s="1520"/>
      <c r="B6" s="1522"/>
      <c r="C6" s="1533"/>
      <c r="D6" s="1534"/>
      <c r="E6" s="1525"/>
      <c r="F6" s="1525"/>
      <c r="G6" s="1536"/>
      <c r="H6" s="945"/>
      <c r="I6" s="1525"/>
      <c r="J6" s="1525"/>
      <c r="K6" s="1525"/>
      <c r="L6" s="1547"/>
      <c r="M6" s="1534"/>
      <c r="N6" s="1525"/>
      <c r="O6" s="1525"/>
      <c r="P6" s="1540"/>
      <c r="Q6" s="1534"/>
      <c r="R6" s="1541"/>
      <c r="S6" s="1541"/>
      <c r="T6" s="1525"/>
      <c r="U6" s="1529"/>
      <c r="V6" s="1533"/>
      <c r="W6" s="1546"/>
      <c r="X6" s="1529"/>
      <c r="Y6" s="1540"/>
      <c r="Z6" s="1538"/>
      <c r="AA6" s="862" t="s">
        <v>372</v>
      </c>
      <c r="AB6" s="862" t="s">
        <v>476</v>
      </c>
      <c r="AC6" s="862" t="s">
        <v>372</v>
      </c>
      <c r="AD6" s="863" t="s">
        <v>477</v>
      </c>
    </row>
    <row r="7" spans="1:31" s="732" customFormat="1" ht="27" thickBot="1" x14ac:dyDescent="0.45">
      <c r="A7" s="971">
        <v>1</v>
      </c>
      <c r="B7" s="972">
        <v>2</v>
      </c>
      <c r="C7" s="973">
        <v>3</v>
      </c>
      <c r="D7" s="1031"/>
      <c r="E7" s="973"/>
      <c r="F7" s="973"/>
      <c r="G7" s="1031"/>
      <c r="H7" s="1031"/>
      <c r="I7" s="973"/>
      <c r="J7" s="973"/>
      <c r="K7" s="973"/>
      <c r="L7" s="974"/>
      <c r="M7" s="1031"/>
      <c r="N7" s="973"/>
      <c r="O7" s="973"/>
      <c r="P7" s="975">
        <f>(P9*G9+P10*G10+P11*G11)/(G9+G11+G10)</f>
        <v>67807.489331221353</v>
      </c>
      <c r="Q7" s="1034">
        <f>(Q9*G9+Q10*G10+Q11*G11)/(G9+G11+G10)</f>
        <v>56877.31383254948</v>
      </c>
      <c r="R7" s="976"/>
      <c r="S7" s="976"/>
      <c r="T7" s="973">
        <f>(Q9*H9+Q10*H10+Q11*H11)/H8</f>
        <v>56877.31383254948</v>
      </c>
      <c r="U7" s="972"/>
      <c r="V7" s="972">
        <v>5</v>
      </c>
      <c r="W7" s="977"/>
      <c r="X7" s="972"/>
      <c r="Y7" s="978"/>
      <c r="Z7" s="979">
        <v>6</v>
      </c>
      <c r="AA7" s="972">
        <v>7</v>
      </c>
      <c r="AB7" s="972">
        <v>8</v>
      </c>
      <c r="AC7" s="972">
        <v>9</v>
      </c>
      <c r="AD7" s="980">
        <v>10</v>
      </c>
    </row>
    <row r="8" spans="1:31" s="865" customFormat="1" ht="135" customHeight="1" x14ac:dyDescent="0.25">
      <c r="A8" s="981" t="s">
        <v>104</v>
      </c>
      <c r="B8" s="981" t="s">
        <v>39</v>
      </c>
      <c r="C8" s="982">
        <v>400330</v>
      </c>
      <c r="D8" s="1032">
        <v>215434</v>
      </c>
      <c r="E8" s="982">
        <v>382307</v>
      </c>
      <c r="F8" s="982">
        <f>D8/6*12</f>
        <v>430868</v>
      </c>
      <c r="G8" s="1032">
        <f>ROUND(C8*$D$24,0)</f>
        <v>399334</v>
      </c>
      <c r="H8" s="1037">
        <f>G8/$C$24</f>
        <v>2.7770753967757233E-3</v>
      </c>
      <c r="I8" s="864">
        <f>G8/C8-1</f>
        <v>-2.4879474433592286E-3</v>
      </c>
      <c r="J8" s="982" t="s">
        <v>854</v>
      </c>
      <c r="K8" s="983">
        <v>57450.2</v>
      </c>
      <c r="L8" s="984">
        <f>W8/D8*1000</f>
        <v>63404.17359376885</v>
      </c>
      <c r="M8" s="1008">
        <f>L8/$B$25</f>
        <v>52909.450352285232</v>
      </c>
      <c r="N8" s="983">
        <f>M8</f>
        <v>52909.450352285232</v>
      </c>
      <c r="O8" s="983">
        <f>N8*$C$25</f>
        <v>63077.117193784201</v>
      </c>
      <c r="P8" s="985">
        <f>O8*$AC$31</f>
        <v>67807.489331221353</v>
      </c>
      <c r="Q8" s="1008">
        <f>P8/$C$25</f>
        <v>56877.31383254948</v>
      </c>
      <c r="R8" s="986">
        <v>65989.772048421204</v>
      </c>
      <c r="S8" s="986">
        <v>55520.98</v>
      </c>
      <c r="T8" s="733">
        <f>Q8/K8-1</f>
        <v>-9.9718742049725861E-3</v>
      </c>
      <c r="U8" s="987" t="s">
        <v>833</v>
      </c>
      <c r="V8" s="988">
        <f>V9+V10+V11</f>
        <v>27561000.299999997</v>
      </c>
      <c r="W8" s="989">
        <v>13659414.733999999</v>
      </c>
      <c r="X8" s="988">
        <f>W8/6*12</f>
        <v>27318829.468000002</v>
      </c>
      <c r="Y8" s="990">
        <f>G8*P8/1000</f>
        <v>27077835.944593947</v>
      </c>
      <c r="Z8" s="991">
        <v>27081608.540723614</v>
      </c>
      <c r="AA8" s="992">
        <f>G8-C8</f>
        <v>-996</v>
      </c>
      <c r="AB8" s="993">
        <f>Y8-V8</f>
        <v>-483164.35540604964</v>
      </c>
      <c r="AC8" s="994">
        <f>G8/C8</f>
        <v>0.99751205255664077</v>
      </c>
      <c r="AD8" s="994">
        <f>Y8/V8</f>
        <v>0.98246927360593472</v>
      </c>
      <c r="AE8" s="868"/>
    </row>
    <row r="9" spans="1:31" ht="108.75" customHeight="1" x14ac:dyDescent="0.25">
      <c r="A9" s="995" t="s">
        <v>107</v>
      </c>
      <c r="B9" s="995" t="s">
        <v>39</v>
      </c>
      <c r="C9" s="996">
        <v>109918</v>
      </c>
      <c r="D9" s="1032">
        <v>59436</v>
      </c>
      <c r="E9" s="996">
        <v>106133</v>
      </c>
      <c r="F9" s="996">
        <f t="shared" ref="F9:F19" si="0">D9/6*12</f>
        <v>118872</v>
      </c>
      <c r="G9" s="1032">
        <f>ROUND(C9*$D$24,0)</f>
        <v>109645</v>
      </c>
      <c r="H9" s="1037">
        <f t="shared" ref="H9:H19" si="1">G9/$C$24</f>
        <v>7.6250064326972963E-4</v>
      </c>
      <c r="I9" s="866">
        <f>G9/C9-1</f>
        <v>-2.483669644644193E-3</v>
      </c>
      <c r="J9" s="996" t="s">
        <v>854</v>
      </c>
      <c r="K9" s="997">
        <v>99208.9</v>
      </c>
      <c r="L9" s="984">
        <f>W9/D9*1000</f>
        <v>97141.677047580597</v>
      </c>
      <c r="M9" s="1008">
        <f>L9/$B$25</f>
        <v>81062.687952008971</v>
      </c>
      <c r="N9" s="997">
        <f t="shared" ref="N9:N19" si="2">M9</f>
        <v>81062.687952008971</v>
      </c>
      <c r="O9" s="997">
        <f>N9*$C$25</f>
        <v>96640.593201157346</v>
      </c>
      <c r="P9" s="985">
        <f>O9*$AC$31</f>
        <v>103888.00699814048</v>
      </c>
      <c r="Q9" s="1008">
        <f>P9/$C$25</f>
        <v>87141.860519390233</v>
      </c>
      <c r="R9" s="986">
        <v>102428.41836155191</v>
      </c>
      <c r="S9" s="986">
        <v>86178.9</v>
      </c>
      <c r="T9" s="867">
        <f>Q9/K9-1</f>
        <v>-0.12163263054634976</v>
      </c>
      <c r="U9" s="998" t="s">
        <v>833</v>
      </c>
      <c r="V9" s="993">
        <v>13059321.6</v>
      </c>
      <c r="W9" s="989">
        <v>5773712.7170000002</v>
      </c>
      <c r="X9" s="993">
        <f t="shared" ref="X9:X19" si="3">W9/6*12</f>
        <v>11547425.434</v>
      </c>
      <c r="Y9" s="990">
        <f>G9*P9/1000</f>
        <v>11390800.527311113</v>
      </c>
      <c r="Z9" s="991">
        <v>11541326.895724585</v>
      </c>
      <c r="AA9" s="992">
        <f t="shared" ref="AA9:AA19" si="4">G9-C9</f>
        <v>-273</v>
      </c>
      <c r="AB9" s="993">
        <f t="shared" ref="AB9:AB19" si="5">Y9-V9</f>
        <v>-1668521.0726888869</v>
      </c>
      <c r="AC9" s="994">
        <f t="shared" ref="AC9:AC19" si="6">G9/C9</f>
        <v>0.99751633035535581</v>
      </c>
      <c r="AD9" s="994">
        <f t="shared" ref="AD9:AD19" si="7">Y9/V9</f>
        <v>0.87223524132456565</v>
      </c>
    </row>
    <row r="10" spans="1:31" ht="120" x14ac:dyDescent="0.25">
      <c r="A10" s="995" t="s">
        <v>434</v>
      </c>
      <c r="B10" s="999" t="s">
        <v>39</v>
      </c>
      <c r="C10" s="996">
        <v>10751</v>
      </c>
      <c r="D10" s="1032">
        <v>6091</v>
      </c>
      <c r="E10" s="996">
        <v>11397</v>
      </c>
      <c r="F10" s="996">
        <f t="shared" si="0"/>
        <v>12182</v>
      </c>
      <c r="G10" s="1032">
        <f>ROUND(C10*$D$24,0)</f>
        <v>10724</v>
      </c>
      <c r="H10" s="1037">
        <f t="shared" si="1"/>
        <v>7.4577563030002098E-5</v>
      </c>
      <c r="I10" s="866">
        <f>G10/C10-1</f>
        <v>-2.5113942889033458E-3</v>
      </c>
      <c r="J10" s="996" t="s">
        <v>854</v>
      </c>
      <c r="K10" s="997">
        <v>108426.4</v>
      </c>
      <c r="L10" s="984">
        <f>W10/D10*1000</f>
        <v>134608.72188474797</v>
      </c>
      <c r="M10" s="1008">
        <f>L10/$B$25</f>
        <v>112328.14945553642</v>
      </c>
      <c r="N10" s="997">
        <f t="shared" si="2"/>
        <v>112328.14945553642</v>
      </c>
      <c r="O10" s="997">
        <f>N10*$C$25</f>
        <v>133914.37257789908</v>
      </c>
      <c r="P10" s="985">
        <f>O10*$AC$31</f>
        <v>143957.07657305402</v>
      </c>
      <c r="Q10" s="1008">
        <f>P10/$C$25</f>
        <v>120752.02759191244</v>
      </c>
      <c r="R10" s="986">
        <v>142658.55976075851</v>
      </c>
      <c r="S10" s="986">
        <v>120026.82</v>
      </c>
      <c r="T10" s="867">
        <f>Q10/K10-1</f>
        <v>0.11367736632326109</v>
      </c>
      <c r="U10" s="998" t="s">
        <v>833</v>
      </c>
      <c r="V10" s="993">
        <v>1404789.7</v>
      </c>
      <c r="W10" s="989">
        <v>819901.72499999998</v>
      </c>
      <c r="X10" s="993">
        <f t="shared" si="3"/>
        <v>1639803.4500000002</v>
      </c>
      <c r="Y10" s="990">
        <f>G10*P10/1000</f>
        <v>1543795.6891694311</v>
      </c>
      <c r="Z10" s="991">
        <v>1572239.9871233196</v>
      </c>
      <c r="AA10" s="992">
        <f t="shared" si="4"/>
        <v>-27</v>
      </c>
      <c r="AB10" s="993">
        <f t="shared" si="5"/>
        <v>139005.98916943115</v>
      </c>
      <c r="AC10" s="994">
        <f t="shared" si="6"/>
        <v>0.99748860571109665</v>
      </c>
      <c r="AD10" s="994">
        <f t="shared" si="7"/>
        <v>1.098951458121761</v>
      </c>
    </row>
    <row r="11" spans="1:31" s="871" customFormat="1" ht="116.25" customHeight="1" x14ac:dyDescent="0.25">
      <c r="A11" s="1000" t="s">
        <v>436</v>
      </c>
      <c r="B11" s="1000" t="s">
        <v>39</v>
      </c>
      <c r="C11" s="1001">
        <v>279662.00000000041</v>
      </c>
      <c r="D11" s="1032">
        <v>149907</v>
      </c>
      <c r="E11" s="1001">
        <f>E8-E9-E10</f>
        <v>264777</v>
      </c>
      <c r="F11" s="1001">
        <f t="shared" si="0"/>
        <v>299814</v>
      </c>
      <c r="G11" s="1032">
        <f>ROUND(C11*$D$24,0)-1</f>
        <v>278965</v>
      </c>
      <c r="H11" s="1037">
        <f t="shared" si="1"/>
        <v>1.9399971904759917E-3</v>
      </c>
      <c r="I11" s="869">
        <f>G11/C11-1</f>
        <v>-2.4922942695124739E-3</v>
      </c>
      <c r="J11" s="1001"/>
      <c r="K11" s="1002">
        <v>39079.599999999999</v>
      </c>
      <c r="L11" s="984">
        <f>W11/D11*1000</f>
        <v>47134.558706397969</v>
      </c>
      <c r="M11" s="1008">
        <f>L11/$B$25</f>
        <v>39332.798653464757</v>
      </c>
      <c r="N11" s="1002">
        <f>O11/C25</f>
        <v>39559.862175255941</v>
      </c>
      <c r="O11" s="1002">
        <f>P11/AC31</f>
        <v>47162.12408150245</v>
      </c>
      <c r="P11" s="985">
        <f>Y11/G11*1000</f>
        <v>50698.975599496007</v>
      </c>
      <c r="Q11" s="1008">
        <f>P11/$C$25</f>
        <v>42526.593663947453</v>
      </c>
      <c r="R11" s="986">
        <v>48721.251156727609</v>
      </c>
      <c r="S11" s="986">
        <v>40991.980000000003</v>
      </c>
      <c r="T11" s="870">
        <f>Q11/K11-1</f>
        <v>8.820442542777962E-2</v>
      </c>
      <c r="U11" s="1003" t="s">
        <v>833</v>
      </c>
      <c r="V11" s="1004">
        <v>13096889</v>
      </c>
      <c r="W11" s="989">
        <v>7065800.2920000004</v>
      </c>
      <c r="X11" s="1004">
        <f t="shared" si="3"/>
        <v>14131600.583999999</v>
      </c>
      <c r="Y11" s="990">
        <f>Y8-Y9-Y10</f>
        <v>14143239.728113404</v>
      </c>
      <c r="Z11" s="991">
        <v>13968041.657875709</v>
      </c>
      <c r="AA11" s="992">
        <f t="shared" si="4"/>
        <v>-697.00000000040745</v>
      </c>
      <c r="AB11" s="993">
        <f t="shared" si="5"/>
        <v>1046350.7281134035</v>
      </c>
      <c r="AC11" s="994">
        <f t="shared" si="6"/>
        <v>0.99750770573048753</v>
      </c>
      <c r="AD11" s="994">
        <f t="shared" si="7"/>
        <v>1.0798930744632105</v>
      </c>
      <c r="AE11" s="868"/>
    </row>
    <row r="12" spans="1:31" ht="116.25" customHeight="1" x14ac:dyDescent="0.25">
      <c r="A12" s="1005"/>
      <c r="B12" s="1005"/>
      <c r="C12" s="996"/>
      <c r="D12" s="1032"/>
      <c r="E12" s="996"/>
      <c r="F12" s="996"/>
      <c r="G12" s="1032"/>
      <c r="H12" s="1032"/>
      <c r="I12" s="997"/>
      <c r="J12" s="996"/>
      <c r="K12" s="997"/>
      <c r="L12" s="984"/>
      <c r="M12" s="1008"/>
      <c r="N12" s="997"/>
      <c r="O12" s="1006"/>
      <c r="P12" s="975">
        <f>(P14*G14+P15*G15+P16*G16)/(G14+G16+G15)</f>
        <v>114379.47145842545</v>
      </c>
      <c r="Q12" s="1034">
        <f>(Q14*G14+Q15*G15+Q16*G16)/(G14+G16+G15)</f>
        <v>95942.161526788099</v>
      </c>
      <c r="R12" s="986"/>
      <c r="S12" s="986"/>
      <c r="T12" s="1034">
        <f>(Q14*H14+Q15*H15+Q16*H16)/H13</f>
        <v>95942.161526788099</v>
      </c>
      <c r="U12" s="998"/>
      <c r="V12" s="993"/>
      <c r="W12" s="989"/>
      <c r="X12" s="993"/>
      <c r="Y12" s="990"/>
      <c r="Z12" s="991"/>
      <c r="AA12" s="992"/>
      <c r="AB12" s="993"/>
      <c r="AC12" s="994"/>
      <c r="AD12" s="994"/>
    </row>
    <row r="13" spans="1:31" s="865" customFormat="1" ht="210" customHeight="1" x14ac:dyDescent="0.25">
      <c r="A13" s="981" t="s">
        <v>111</v>
      </c>
      <c r="B13" s="1007" t="s">
        <v>33</v>
      </c>
      <c r="C13" s="982">
        <v>1738244</v>
      </c>
      <c r="D13" s="1032">
        <v>878858</v>
      </c>
      <c r="E13" s="982">
        <v>1659007</v>
      </c>
      <c r="F13" s="982">
        <f t="shared" si="0"/>
        <v>1757716</v>
      </c>
      <c r="G13" s="1032">
        <f>ROUND(C13*$D$24,0)</f>
        <v>1733920</v>
      </c>
      <c r="H13" s="1037">
        <f t="shared" si="1"/>
        <v>1.2058143238435402E-2</v>
      </c>
      <c r="I13" s="864">
        <f>G13/C13-1</f>
        <v>-2.4875679133654627E-3</v>
      </c>
      <c r="J13" s="982" t="s">
        <v>855</v>
      </c>
      <c r="K13" s="983">
        <v>79999.399999999994</v>
      </c>
      <c r="L13" s="984">
        <f>W13/D13*1000</f>
        <v>101563.18110092872</v>
      </c>
      <c r="M13" s="1008">
        <f>L13/$B$25</f>
        <v>84752.340161529151</v>
      </c>
      <c r="N13" s="1002">
        <f>O13/C25</f>
        <v>87250.337673592774</v>
      </c>
      <c r="O13" s="1002">
        <f>P13/AC30</f>
        <v>104017.33032550305</v>
      </c>
      <c r="P13" s="1008">
        <f>Y13/G13*1000</f>
        <v>114379.47145842543</v>
      </c>
      <c r="Q13" s="1008">
        <f>P13/$C$25</f>
        <v>95942.161526788084</v>
      </c>
      <c r="R13" s="986">
        <v>111087.47583758864</v>
      </c>
      <c r="S13" s="986">
        <v>93464.259799508101</v>
      </c>
      <c r="T13" s="733">
        <f>Q13/K13-1</f>
        <v>0.19928601372995414</v>
      </c>
      <c r="U13" s="987" t="s">
        <v>848</v>
      </c>
      <c r="V13" s="988">
        <f>V14+V16</f>
        <v>166641019.40000001</v>
      </c>
      <c r="W13" s="989">
        <v>89259614.216000006</v>
      </c>
      <c r="X13" s="988">
        <f t="shared" si="3"/>
        <v>178519228.43200001</v>
      </c>
      <c r="Y13" s="1009">
        <v>198324853.15119302</v>
      </c>
      <c r="Z13" s="991">
        <v>197951131.45444599</v>
      </c>
      <c r="AA13" s="992">
        <f t="shared" si="4"/>
        <v>-4324</v>
      </c>
      <c r="AB13" s="993">
        <f t="shared" si="5"/>
        <v>31683833.751193017</v>
      </c>
      <c r="AC13" s="994">
        <f t="shared" si="6"/>
        <v>0.99751243208663454</v>
      </c>
      <c r="AD13" s="994">
        <f t="shared" si="7"/>
        <v>1.1901322607439175</v>
      </c>
      <c r="AE13" s="868"/>
    </row>
    <row r="14" spans="1:31" ht="120" x14ac:dyDescent="0.25">
      <c r="A14" s="995" t="s">
        <v>112</v>
      </c>
      <c r="B14" s="1010" t="s">
        <v>33</v>
      </c>
      <c r="C14" s="996">
        <v>232109</v>
      </c>
      <c r="D14" s="1032">
        <v>113038</v>
      </c>
      <c r="E14" s="996">
        <v>220734</v>
      </c>
      <c r="F14" s="996">
        <f t="shared" si="0"/>
        <v>226076</v>
      </c>
      <c r="G14" s="1032">
        <f>C14</f>
        <v>232109</v>
      </c>
      <c r="H14" s="1037">
        <f t="shared" si="1"/>
        <v>1.6141480396615776E-3</v>
      </c>
      <c r="I14" s="866">
        <f>G14/C14-1</f>
        <v>0</v>
      </c>
      <c r="J14" s="996" t="s">
        <v>854</v>
      </c>
      <c r="K14" s="997">
        <v>116789.5</v>
      </c>
      <c r="L14" s="984">
        <f>W14/D14*1000</f>
        <v>137429.6357331163</v>
      </c>
      <c r="M14" s="1008">
        <f>L14/$B$25</f>
        <v>114682.14277724712</v>
      </c>
      <c r="N14" s="997">
        <f t="shared" si="2"/>
        <v>114682.14277724712</v>
      </c>
      <c r="O14" s="997">
        <f>N14*$C$25</f>
        <v>136720.73536636675</v>
      </c>
      <c r="P14" s="1008">
        <f>O14*$AC$30</f>
        <v>150340.7691744818</v>
      </c>
      <c r="Q14" s="1008">
        <f>P14/$C$25</f>
        <v>126106.70583001013</v>
      </c>
      <c r="R14" s="986">
        <v>149457.74446225076</v>
      </c>
      <c r="S14" s="986">
        <v>125747.36577767866</v>
      </c>
      <c r="T14" s="867">
        <f>Q14/K14-1</f>
        <v>7.9777769662599196E-2</v>
      </c>
      <c r="U14" s="998" t="s">
        <v>834</v>
      </c>
      <c r="V14" s="993">
        <v>32482144</v>
      </c>
      <c r="W14" s="989">
        <v>15534771.164000001</v>
      </c>
      <c r="X14" s="993">
        <f t="shared" si="3"/>
        <v>31069542.328000002</v>
      </c>
      <c r="Y14" s="1009">
        <f>G14*P14/1000</f>
        <v>34895445.592319794</v>
      </c>
      <c r="Z14" s="991">
        <v>37475633.724466249</v>
      </c>
      <c r="AA14" s="992">
        <f t="shared" si="4"/>
        <v>0</v>
      </c>
      <c r="AB14" s="993">
        <f t="shared" si="5"/>
        <v>2413301.592319794</v>
      </c>
      <c r="AC14" s="994">
        <f t="shared" si="6"/>
        <v>1</v>
      </c>
      <c r="AD14" s="994">
        <f t="shared" si="7"/>
        <v>1.0742962531143201</v>
      </c>
    </row>
    <row r="15" spans="1:31" s="874" customFormat="1" ht="102" x14ac:dyDescent="0.25">
      <c r="A15" s="1011" t="s">
        <v>843</v>
      </c>
      <c r="B15" s="1012" t="s">
        <v>33</v>
      </c>
      <c r="C15" s="1013" t="s">
        <v>132</v>
      </c>
      <c r="D15" s="1032" t="s">
        <v>132</v>
      </c>
      <c r="E15" s="1013" t="s">
        <v>132</v>
      </c>
      <c r="F15" s="1013" t="s">
        <v>132</v>
      </c>
      <c r="G15" s="1032">
        <v>22780</v>
      </c>
      <c r="H15" s="1037">
        <f t="shared" si="1"/>
        <v>1.5841821016630435E-4</v>
      </c>
      <c r="I15" s="872"/>
      <c r="J15" s="1013"/>
      <c r="K15" s="1014"/>
      <c r="L15" s="984"/>
      <c r="M15" s="1008"/>
      <c r="N15" s="1014"/>
      <c r="O15" s="872"/>
      <c r="P15" s="985">
        <f>Q15*C25</f>
        <v>448129.1258667215</v>
      </c>
      <c r="Q15" s="1008">
        <v>375893.3</v>
      </c>
      <c r="R15" s="986"/>
      <c r="S15" s="986"/>
      <c r="T15" s="873"/>
      <c r="U15" s="1015"/>
      <c r="V15" s="1016" t="s">
        <v>132</v>
      </c>
      <c r="W15" s="989" t="s">
        <v>132</v>
      </c>
      <c r="X15" s="1016" t="s">
        <v>132</v>
      </c>
      <c r="Y15" s="990">
        <f>P15*G15/1000</f>
        <v>10208381.487243915</v>
      </c>
      <c r="Z15" s="991"/>
      <c r="AA15" s="992"/>
      <c r="AB15" s="993"/>
      <c r="AC15" s="994"/>
      <c r="AD15" s="994"/>
      <c r="AE15" s="868"/>
    </row>
    <row r="16" spans="1:31" s="871" customFormat="1" ht="210" x14ac:dyDescent="0.25">
      <c r="A16" s="1017" t="s">
        <v>126</v>
      </c>
      <c r="B16" s="1017"/>
      <c r="C16" s="1001">
        <v>1506135</v>
      </c>
      <c r="D16" s="1032">
        <v>765820</v>
      </c>
      <c r="E16" s="1001">
        <f>E13-E14</f>
        <v>1438273</v>
      </c>
      <c r="F16" s="1001">
        <f t="shared" si="0"/>
        <v>1531640</v>
      </c>
      <c r="G16" s="1032">
        <f>G13-G14-G15</f>
        <v>1479031</v>
      </c>
      <c r="H16" s="1037">
        <f t="shared" si="1"/>
        <v>1.028557698860752E-2</v>
      </c>
      <c r="I16" s="869">
        <f>G16/C16-1</f>
        <v>-1.7995730794384324E-2</v>
      </c>
      <c r="J16" s="1001" t="s">
        <v>854</v>
      </c>
      <c r="K16" s="1002">
        <v>74331.199999999997</v>
      </c>
      <c r="L16" s="984">
        <f>W16/D16*1000</f>
        <v>96269.153393747882</v>
      </c>
      <c r="M16" s="1008">
        <f>L16/$B$25</f>
        <v>80334.585299974817</v>
      </c>
      <c r="N16" s="1002">
        <f>O16/C25</f>
        <v>79024.202308143882</v>
      </c>
      <c r="O16" s="1002">
        <f>P16/AC30</f>
        <v>94210.369545462701</v>
      </c>
      <c r="P16" s="1008">
        <f>Y16/G16*1000</f>
        <v>103595.54740342111</v>
      </c>
      <c r="Q16" s="1008">
        <f>P16/$C$25</f>
        <v>86896.543721551876</v>
      </c>
      <c r="R16" s="986">
        <v>104804.07399339655</v>
      </c>
      <c r="S16" s="986">
        <v>88177.67</v>
      </c>
      <c r="T16" s="870">
        <f>Q16/K16-1</f>
        <v>0.1690453500219542</v>
      </c>
      <c r="U16" s="987" t="s">
        <v>842</v>
      </c>
      <c r="V16" s="1004">
        <v>134158875.40000001</v>
      </c>
      <c r="W16" s="989">
        <v>73724843.052000001</v>
      </c>
      <c r="X16" s="1004">
        <f t="shared" si="3"/>
        <v>147449686.104</v>
      </c>
      <c r="Y16" s="1009">
        <f>Y13-Y14-Y15</f>
        <v>153221026.07162932</v>
      </c>
      <c r="Z16" s="991">
        <v>160475497.72998011</v>
      </c>
      <c r="AA16" s="992">
        <f t="shared" si="4"/>
        <v>-27104</v>
      </c>
      <c r="AB16" s="993">
        <f t="shared" si="5"/>
        <v>19062150.67162931</v>
      </c>
      <c r="AC16" s="994">
        <f t="shared" si="6"/>
        <v>0.98200426920561568</v>
      </c>
      <c r="AD16" s="994">
        <f t="shared" si="7"/>
        <v>1.1420863928293581</v>
      </c>
      <c r="AE16" s="868"/>
    </row>
    <row r="17" spans="1:31" ht="76.5" x14ac:dyDescent="0.25">
      <c r="A17" s="995" t="s">
        <v>113</v>
      </c>
      <c r="B17" s="1010" t="s">
        <v>33</v>
      </c>
      <c r="C17" s="996"/>
      <c r="D17" s="1032"/>
      <c r="E17" s="996"/>
      <c r="F17" s="996"/>
      <c r="G17" s="1032"/>
      <c r="H17" s="1032"/>
      <c r="I17" s="866"/>
      <c r="J17" s="996"/>
      <c r="K17" s="996"/>
      <c r="L17" s="984"/>
      <c r="M17" s="1008"/>
      <c r="N17" s="997"/>
      <c r="O17" s="997"/>
      <c r="P17" s="985"/>
      <c r="Q17" s="1035"/>
      <c r="R17" s="986"/>
      <c r="S17" s="986"/>
      <c r="T17" s="996"/>
      <c r="U17" s="992"/>
      <c r="V17" s="992"/>
      <c r="W17" s="1018"/>
      <c r="X17" s="993"/>
      <c r="Y17" s="990"/>
      <c r="Z17" s="991"/>
      <c r="AA17" s="992"/>
      <c r="AB17" s="993"/>
      <c r="AC17" s="994"/>
      <c r="AD17" s="994"/>
    </row>
    <row r="18" spans="1:31" s="865" customFormat="1" ht="120" x14ac:dyDescent="0.25">
      <c r="A18" s="981" t="s">
        <v>115</v>
      </c>
      <c r="B18" s="1019" t="s">
        <v>15</v>
      </c>
      <c r="C18" s="982">
        <v>18353</v>
      </c>
      <c r="D18" s="1032">
        <v>7382</v>
      </c>
      <c r="E18" s="982">
        <v>14140</v>
      </c>
      <c r="F18" s="982">
        <f t="shared" si="0"/>
        <v>14764</v>
      </c>
      <c r="G18" s="1032">
        <f>C18</f>
        <v>18353</v>
      </c>
      <c r="H18" s="1037">
        <f t="shared" si="1"/>
        <v>1.2763166862081579E-4</v>
      </c>
      <c r="I18" s="864">
        <f>G18/C18-1</f>
        <v>0</v>
      </c>
      <c r="J18" s="982" t="s">
        <v>723</v>
      </c>
      <c r="K18" s="983">
        <v>30231.8</v>
      </c>
      <c r="L18" s="984">
        <f>W18/D18*1000</f>
        <v>36081.430100243844</v>
      </c>
      <c r="M18" s="1008">
        <f>L18/$B$25</f>
        <v>30109.19512585393</v>
      </c>
      <c r="N18" s="983">
        <f t="shared" si="2"/>
        <v>30109.19512585393</v>
      </c>
      <c r="O18" s="983">
        <f>N18*$C$25</f>
        <v>35895.312026842388</v>
      </c>
      <c r="P18" s="985">
        <f>O18*$AC$31</f>
        <v>38587.226169886337</v>
      </c>
      <c r="Q18" s="1008">
        <f>P18/$C$25</f>
        <v>32367.188262516069</v>
      </c>
      <c r="R18" s="986">
        <v>40054.651751762707</v>
      </c>
      <c r="S18" s="986">
        <v>33700.274034301394</v>
      </c>
      <c r="T18" s="733">
        <f>Q18/K18-1</f>
        <v>7.0633844578095628E-2</v>
      </c>
      <c r="U18" s="987" t="s">
        <v>833</v>
      </c>
      <c r="V18" s="988">
        <v>663258.4</v>
      </c>
      <c r="W18" s="989">
        <v>266353.11700000003</v>
      </c>
      <c r="X18" s="988">
        <f t="shared" si="3"/>
        <v>532706.23400000005</v>
      </c>
      <c r="Y18" s="990">
        <f>G18*P18/1000</f>
        <v>708191.36189592397</v>
      </c>
      <c r="Z18" s="991">
        <v>735123.02360010101</v>
      </c>
      <c r="AA18" s="992">
        <f t="shared" si="4"/>
        <v>0</v>
      </c>
      <c r="AB18" s="993">
        <f t="shared" si="5"/>
        <v>44932.961895923945</v>
      </c>
      <c r="AC18" s="994">
        <f t="shared" si="6"/>
        <v>1</v>
      </c>
      <c r="AD18" s="994">
        <f t="shared" si="7"/>
        <v>1.067745786402289</v>
      </c>
      <c r="AE18" s="868"/>
    </row>
    <row r="19" spans="1:31" s="865" customFormat="1" ht="127.5" x14ac:dyDescent="0.25">
      <c r="A19" s="981" t="s">
        <v>449</v>
      </c>
      <c r="B19" s="1020" t="s">
        <v>39</v>
      </c>
      <c r="C19" s="982">
        <v>180181</v>
      </c>
      <c r="D19" s="1032">
        <v>77853</v>
      </c>
      <c r="E19" s="982">
        <v>135650</v>
      </c>
      <c r="F19" s="982">
        <f t="shared" si="0"/>
        <v>155706</v>
      </c>
      <c r="G19" s="1032">
        <v>201000</v>
      </c>
      <c r="H19" s="1037">
        <f t="shared" si="1"/>
        <v>1.397807736761509E-3</v>
      </c>
      <c r="I19" s="864">
        <f>G19/C19-1</f>
        <v>0.1155449242705946</v>
      </c>
      <c r="J19" s="982" t="s">
        <v>724</v>
      </c>
      <c r="K19" s="983">
        <v>87286.9</v>
      </c>
      <c r="L19" s="984">
        <f>W19/D19*1000</f>
        <v>112588.61134445686</v>
      </c>
      <c r="M19" s="1008">
        <f>L19/$B$25</f>
        <v>93952.829987641569</v>
      </c>
      <c r="N19" s="983">
        <f t="shared" si="2"/>
        <v>93952.829987641569</v>
      </c>
      <c r="O19" s="983">
        <f>N19*$C$25</f>
        <v>112007.84790542029</v>
      </c>
      <c r="P19" s="1008">
        <f>O19*$AC$30</f>
        <v>123165.99938228339</v>
      </c>
      <c r="Q19" s="1008">
        <f>P19/$C$25</f>
        <v>103312.35191656294</v>
      </c>
      <c r="R19" s="986">
        <v>128010.05372148154</v>
      </c>
      <c r="S19" s="986">
        <v>107702.1943991742</v>
      </c>
      <c r="T19" s="733">
        <f>Q19/K19-1</f>
        <v>0.18359515478912591</v>
      </c>
      <c r="U19" s="987" t="s">
        <v>834</v>
      </c>
      <c r="V19" s="988">
        <v>18848382.899999999</v>
      </c>
      <c r="W19" s="989">
        <v>8765361.159</v>
      </c>
      <c r="X19" s="988">
        <f t="shared" si="3"/>
        <v>17530722.318</v>
      </c>
      <c r="Y19" s="1009">
        <f>G19*P19/1000</f>
        <v>24756365.875838961</v>
      </c>
      <c r="Z19" s="991">
        <v>25730020.798017789</v>
      </c>
      <c r="AA19" s="992">
        <f t="shared" si="4"/>
        <v>20819</v>
      </c>
      <c r="AB19" s="993">
        <f t="shared" si="5"/>
        <v>5907982.9758389629</v>
      </c>
      <c r="AC19" s="994">
        <f t="shared" si="6"/>
        <v>1.1155449242705946</v>
      </c>
      <c r="AD19" s="994">
        <f t="shared" si="7"/>
        <v>1.313447737515931</v>
      </c>
      <c r="AE19" s="868"/>
    </row>
    <row r="20" spans="1:31" ht="30" x14ac:dyDescent="0.25">
      <c r="A20" s="1021" t="s">
        <v>274</v>
      </c>
      <c r="B20" s="1022" t="s">
        <v>87</v>
      </c>
      <c r="C20" s="1023">
        <f>C8+C13+C18+C19</f>
        <v>2337108</v>
      </c>
      <c r="D20" s="1033"/>
      <c r="E20" s="1023">
        <f>E8+E13+E18+E19</f>
        <v>2191104</v>
      </c>
      <c r="F20" s="1023">
        <f>F8+F13+F18+F19</f>
        <v>2359054</v>
      </c>
      <c r="G20" s="1032">
        <f>G8+G13+G18+G19</f>
        <v>2352607</v>
      </c>
      <c r="H20" s="1032"/>
      <c r="I20" s="1023"/>
      <c r="J20" s="1025"/>
      <c r="K20" s="1025" t="s">
        <v>87</v>
      </c>
      <c r="L20" s="1024"/>
      <c r="M20" s="1033"/>
      <c r="N20" s="1025" t="s">
        <v>87</v>
      </c>
      <c r="O20" s="1025"/>
      <c r="P20" s="1026"/>
      <c r="Q20" s="1033"/>
      <c r="R20" s="1027"/>
      <c r="S20" s="1027"/>
      <c r="T20" s="1025"/>
      <c r="U20" s="1025"/>
      <c r="V20" s="1025">
        <f>V8+V13+V18+V19</f>
        <v>213713661</v>
      </c>
      <c r="W20" s="1024">
        <f>W8+W13+W18+W19</f>
        <v>111950743.226</v>
      </c>
      <c r="X20" s="1025">
        <f>X8+X13+X18+X19</f>
        <v>223901486.45199999</v>
      </c>
      <c r="Y20" s="1026">
        <f>Y8+Y13+Y18+Y19</f>
        <v>250867246.33352184</v>
      </c>
      <c r="Z20" s="1027">
        <f>Z8+Z13+Z18+Z19</f>
        <v>251497883.81678751</v>
      </c>
      <c r="AA20" s="992"/>
      <c r="AB20" s="993"/>
      <c r="AC20" s="994"/>
      <c r="AD20" s="994"/>
    </row>
    <row r="21" spans="1:31" ht="26.25" x14ac:dyDescent="0.4">
      <c r="A21" s="731"/>
      <c r="B21" s="731"/>
      <c r="C21" s="731"/>
      <c r="D21" s="846"/>
      <c r="E21" s="731"/>
      <c r="F21" s="731"/>
      <c r="G21" s="846"/>
      <c r="H21" s="846"/>
      <c r="I21" s="731"/>
      <c r="J21" s="731"/>
      <c r="K21" s="731"/>
      <c r="L21" s="859"/>
      <c r="M21" s="846"/>
      <c r="N21" s="731"/>
      <c r="O21" s="731"/>
      <c r="P21" s="860"/>
      <c r="Q21" s="846"/>
      <c r="R21" s="861"/>
      <c r="S21" s="861"/>
      <c r="T21" s="731"/>
      <c r="U21" s="731"/>
      <c r="V21" s="734"/>
      <c r="W21" s="875"/>
      <c r="X21" s="734"/>
      <c r="Y21" s="876"/>
      <c r="Z21" s="877"/>
      <c r="AA21" s="734"/>
      <c r="AB21" s="734"/>
      <c r="AC21" s="734"/>
      <c r="AD21" s="734"/>
    </row>
    <row r="22" spans="1:31" ht="26.25" x14ac:dyDescent="0.4">
      <c r="A22" s="731"/>
      <c r="B22" s="731"/>
      <c r="C22" s="731"/>
      <c r="D22" s="846"/>
      <c r="E22" s="731"/>
      <c r="F22" s="731"/>
      <c r="G22" s="846"/>
      <c r="H22" s="846"/>
      <c r="I22" s="732"/>
      <c r="J22" s="731"/>
      <c r="K22" s="731"/>
      <c r="L22" s="859"/>
      <c r="M22" s="846"/>
      <c r="N22" s="731"/>
      <c r="O22" s="731"/>
      <c r="P22" s="860"/>
      <c r="Q22" s="846"/>
      <c r="R22" s="861"/>
      <c r="S22" s="861"/>
      <c r="T22" s="731"/>
      <c r="U22" s="731"/>
      <c r="V22" s="734"/>
      <c r="W22" s="875"/>
      <c r="X22" s="734"/>
      <c r="Y22" s="876"/>
      <c r="Z22" s="878"/>
      <c r="AA22" s="734"/>
      <c r="AB22" s="734"/>
      <c r="AC22" s="734"/>
      <c r="AD22" s="734"/>
    </row>
    <row r="23" spans="1:31" ht="30" x14ac:dyDescent="0.4">
      <c r="A23" s="735"/>
      <c r="B23" s="735">
        <v>2024</v>
      </c>
      <c r="C23" s="735">
        <v>2025</v>
      </c>
      <c r="D23" s="847"/>
      <c r="E23" s="735"/>
      <c r="F23" s="735"/>
      <c r="G23" s="847"/>
      <c r="H23" s="847"/>
      <c r="I23" s="735"/>
      <c r="J23" s="735"/>
      <c r="K23" s="735">
        <v>2027</v>
      </c>
      <c r="L23" s="938"/>
      <c r="M23" s="851"/>
      <c r="N23" s="736"/>
      <c r="O23" s="736"/>
      <c r="P23" s="879"/>
      <c r="Q23" s="851"/>
      <c r="R23" s="880"/>
      <c r="S23" s="880"/>
      <c r="T23" s="736"/>
      <c r="U23" s="736"/>
    </row>
    <row r="24" spans="1:31" ht="31.5" x14ac:dyDescent="0.5">
      <c r="A24" s="735" t="s">
        <v>122</v>
      </c>
      <c r="B24" s="737">
        <v>144155234</v>
      </c>
      <c r="C24" s="1028">
        <v>143796600</v>
      </c>
      <c r="D24" s="1038">
        <f>C24/B24</f>
        <v>0.9975121680285296</v>
      </c>
      <c r="E24" s="1039"/>
      <c r="F24" s="737"/>
      <c r="G24" s="850"/>
      <c r="H24" s="850"/>
      <c r="I24" s="884"/>
      <c r="J24" s="737"/>
      <c r="K24" s="738">
        <v>146545761</v>
      </c>
      <c r="L24" s="939"/>
      <c r="M24" s="852"/>
      <c r="N24" s="739"/>
      <c r="O24" s="739"/>
      <c r="P24" s="885"/>
      <c r="Q24" s="852"/>
      <c r="R24" s="886"/>
      <c r="S24" s="886"/>
      <c r="T24" s="739"/>
      <c r="U24" s="739"/>
      <c r="X24" s="887" t="s">
        <v>725</v>
      </c>
      <c r="Y24" s="888">
        <f>C39-Y20</f>
        <v>2.4781525135040283E-3</v>
      </c>
      <c r="Z24" s="889">
        <f>Y24/C39</f>
        <v>9.8783422295986195E-12</v>
      </c>
      <c r="AA24" s="890"/>
      <c r="AB24" s="1029">
        <f>Y24/P16*1000</f>
        <v>2.3921419169239222E-5</v>
      </c>
    </row>
    <row r="25" spans="1:31" ht="30" x14ac:dyDescent="0.4">
      <c r="A25" s="735" t="s">
        <v>536</v>
      </c>
      <c r="B25" s="740">
        <v>1.1983525281704299</v>
      </c>
      <c r="C25" s="1030">
        <v>1.1921710918144099</v>
      </c>
      <c r="D25" s="848">
        <f>C25/B25</f>
        <v>0.99484172127090398</v>
      </c>
      <c r="E25" s="740"/>
      <c r="F25" s="740"/>
      <c r="G25" s="848"/>
      <c r="H25" s="848"/>
      <c r="I25" s="740"/>
      <c r="J25" s="740"/>
      <c r="K25" s="740"/>
      <c r="L25" s="940"/>
      <c r="M25" s="853"/>
      <c r="N25" s="741"/>
      <c r="O25" s="741"/>
      <c r="P25" s="891"/>
      <c r="Q25" s="853"/>
      <c r="R25" s="892"/>
      <c r="S25" s="892"/>
      <c r="T25" s="741"/>
      <c r="U25" s="741"/>
    </row>
    <row r="28" spans="1:31" ht="27.75" x14ac:dyDescent="0.4">
      <c r="A28" s="742"/>
      <c r="B28" s="743" t="s">
        <v>378</v>
      </c>
      <c r="C28" s="743"/>
      <c r="D28" s="849"/>
      <c r="E28" s="743"/>
      <c r="F28" s="743"/>
      <c r="G28" s="849"/>
      <c r="H28" s="1036"/>
      <c r="I28" s="744"/>
      <c r="J28" s="744"/>
      <c r="K28" s="744" t="s">
        <v>707</v>
      </c>
      <c r="L28" s="893"/>
      <c r="M28" s="854"/>
      <c r="N28" s="745"/>
      <c r="O28" s="745"/>
      <c r="P28" s="894"/>
      <c r="Q28" s="854"/>
      <c r="R28" s="895"/>
      <c r="S28" s="895"/>
      <c r="T28" s="745"/>
      <c r="U28" s="745"/>
      <c r="V28" s="745"/>
      <c r="W28" s="893"/>
      <c r="X28" s="745"/>
      <c r="Y28" s="894"/>
      <c r="Z28" s="895"/>
      <c r="AA28" s="745"/>
      <c r="AB28" s="743"/>
      <c r="AC28" s="896"/>
    </row>
    <row r="29" spans="1:31" ht="83.25" x14ac:dyDescent="0.25">
      <c r="A29" s="897"/>
      <c r="B29" s="897">
        <v>2025</v>
      </c>
      <c r="C29" s="897">
        <v>2026</v>
      </c>
      <c r="D29" s="933"/>
      <c r="E29" s="897"/>
      <c r="F29" s="897"/>
      <c r="G29" s="933"/>
      <c r="H29" s="933"/>
      <c r="I29" s="897"/>
      <c r="J29" s="897"/>
      <c r="K29" s="898" t="s">
        <v>274</v>
      </c>
      <c r="L29" s="899"/>
      <c r="M29" s="936"/>
      <c r="N29" s="898" t="s">
        <v>287</v>
      </c>
      <c r="O29" s="898"/>
      <c r="P29" s="900"/>
      <c r="Q29" s="936"/>
      <c r="R29" s="901"/>
      <c r="S29" s="901"/>
      <c r="T29" s="898"/>
      <c r="U29" s="898"/>
      <c r="V29" s="898" t="s">
        <v>288</v>
      </c>
      <c r="W29" s="899"/>
      <c r="X29" s="898"/>
      <c r="Y29" s="900"/>
      <c r="Z29" s="901" t="s">
        <v>277</v>
      </c>
      <c r="AA29" s="902" t="s">
        <v>290</v>
      </c>
      <c r="AB29" s="898" t="s">
        <v>279</v>
      </c>
      <c r="AC29" s="898" t="s">
        <v>726</v>
      </c>
    </row>
    <row r="30" spans="1:31" ht="28.5" x14ac:dyDescent="0.45">
      <c r="A30" s="897" t="s">
        <v>285</v>
      </c>
      <c r="B30" s="903">
        <v>1.132158</v>
      </c>
      <c r="C30" s="904">
        <v>1.069545</v>
      </c>
      <c r="D30" s="934"/>
      <c r="E30" s="904"/>
      <c r="F30" s="904"/>
      <c r="G30" s="934"/>
      <c r="H30" s="934"/>
      <c r="I30" s="904"/>
      <c r="J30" s="904"/>
      <c r="K30" s="905">
        <v>0.6668739369619352</v>
      </c>
      <c r="L30" s="906"/>
      <c r="M30" s="937"/>
      <c r="N30" s="905">
        <v>0.80749719946586151</v>
      </c>
      <c r="O30" s="905"/>
      <c r="P30" s="907"/>
      <c r="Q30" s="937"/>
      <c r="R30" s="908"/>
      <c r="S30" s="908"/>
      <c r="T30" s="905"/>
      <c r="U30" s="905"/>
      <c r="V30" s="905">
        <v>0.78277393052175381</v>
      </c>
      <c r="W30" s="906"/>
      <c r="X30" s="905"/>
      <c r="Y30" s="907"/>
      <c r="Z30" s="908">
        <v>0.62852055078547497</v>
      </c>
      <c r="AA30" s="909">
        <v>0.66109476947432266</v>
      </c>
      <c r="AB30" s="905">
        <v>0.34737731560311258</v>
      </c>
      <c r="AC30" s="910">
        <f>B30*Z30+B31*Z31</f>
        <v>1.0996193720844014</v>
      </c>
      <c r="AD30" s="898" t="s">
        <v>277</v>
      </c>
    </row>
    <row r="31" spans="1:31" ht="28.5" x14ac:dyDescent="0.45">
      <c r="A31" s="897" t="s">
        <v>286</v>
      </c>
      <c r="B31" s="903">
        <v>1.0445660000000001</v>
      </c>
      <c r="C31" s="904">
        <v>1.039801</v>
      </c>
      <c r="D31" s="934"/>
      <c r="E31" s="904"/>
      <c r="F31" s="904"/>
      <c r="G31" s="934"/>
      <c r="H31" s="934"/>
      <c r="I31" s="904"/>
      <c r="J31" s="904"/>
      <c r="K31" s="905">
        <v>0.3331260630380648</v>
      </c>
      <c r="L31" s="906"/>
      <c r="M31" s="937"/>
      <c r="N31" s="905">
        <v>0.19250280053413849</v>
      </c>
      <c r="O31" s="905"/>
      <c r="P31" s="907"/>
      <c r="Q31" s="937"/>
      <c r="R31" s="908"/>
      <c r="S31" s="908"/>
      <c r="T31" s="905"/>
      <c r="U31" s="905"/>
      <c r="V31" s="905">
        <v>0.21722606947824619</v>
      </c>
      <c r="W31" s="906"/>
      <c r="X31" s="905"/>
      <c r="Y31" s="907"/>
      <c r="Z31" s="908">
        <v>0.37147944921452503</v>
      </c>
      <c r="AA31" s="909">
        <v>0.33890523052567734</v>
      </c>
      <c r="AB31" s="905">
        <v>0.65262268439688742</v>
      </c>
      <c r="AC31" s="910">
        <f>B30*AB30+B31*AB31</f>
        <v>1.0749934738283078</v>
      </c>
      <c r="AD31" s="898" t="s">
        <v>279</v>
      </c>
    </row>
    <row r="33" spans="1:28" ht="25.5" x14ac:dyDescent="0.25">
      <c r="L33" s="941"/>
      <c r="M33" s="946"/>
      <c r="N33" s="911"/>
      <c r="O33" s="911"/>
      <c r="P33" s="912"/>
    </row>
    <row r="34" spans="1:28" ht="15" customHeight="1" x14ac:dyDescent="0.25">
      <c r="A34" s="1533" t="s">
        <v>727</v>
      </c>
      <c r="B34" s="1542" t="s">
        <v>728</v>
      </c>
      <c r="C34" s="1544" t="s">
        <v>360</v>
      </c>
      <c r="D34" s="965"/>
      <c r="L34" s="941"/>
      <c r="M34" s="946"/>
      <c r="N34" s="911"/>
    </row>
    <row r="35" spans="1:28" ht="54" customHeight="1" x14ac:dyDescent="0.45">
      <c r="A35" s="1533"/>
      <c r="B35" s="1543"/>
      <c r="C35" s="1543"/>
      <c r="D35" s="966"/>
      <c r="L35" s="941"/>
      <c r="M35" s="947"/>
      <c r="N35" s="913"/>
      <c r="O35" s="914"/>
      <c r="P35" s="915"/>
      <c r="X35" s="916"/>
      <c r="Y35" s="917"/>
      <c r="Z35" s="918"/>
      <c r="AA35" s="916"/>
      <c r="AB35" s="916"/>
    </row>
    <row r="36" spans="1:28" ht="28.5" x14ac:dyDescent="0.45">
      <c r="A36" s="919">
        <v>1</v>
      </c>
      <c r="B36" s="919">
        <v>2</v>
      </c>
      <c r="C36" s="919">
        <v>3</v>
      </c>
      <c r="D36" s="967"/>
      <c r="I36" s="916">
        <v>1.0072195473933441</v>
      </c>
      <c r="L36" s="941"/>
      <c r="M36" s="948"/>
      <c r="N36" s="920"/>
      <c r="O36" s="914"/>
      <c r="P36" s="915"/>
      <c r="X36" s="916"/>
      <c r="Y36" s="917"/>
      <c r="Z36" s="918"/>
      <c r="AA36" s="916"/>
      <c r="AB36" s="916"/>
    </row>
    <row r="37" spans="1:28" ht="28.5" x14ac:dyDescent="0.45">
      <c r="A37" s="921" t="s">
        <v>729</v>
      </c>
      <c r="B37" s="922"/>
      <c r="C37" s="923">
        <v>1.1759999999999999</v>
      </c>
      <c r="D37" s="968"/>
      <c r="L37" s="941"/>
      <c r="M37" s="946"/>
      <c r="N37" s="911"/>
      <c r="X37" s="916"/>
      <c r="Y37" s="917"/>
      <c r="Z37" s="918"/>
      <c r="AA37" s="916"/>
      <c r="AB37" s="916"/>
    </row>
    <row r="38" spans="1:28" ht="28.5" x14ac:dyDescent="0.45">
      <c r="A38" s="921" t="s">
        <v>283</v>
      </c>
      <c r="B38" s="922"/>
      <c r="C38" s="923">
        <v>1.0445660000000001</v>
      </c>
      <c r="D38" s="968"/>
      <c r="L38" s="941"/>
      <c r="M38" s="946"/>
      <c r="N38" s="911"/>
      <c r="X38" s="916"/>
      <c r="Y38" s="917"/>
      <c r="Z38" s="918"/>
      <c r="AA38" s="916"/>
      <c r="AB38" s="924"/>
    </row>
    <row r="39" spans="1:28" ht="28.5" x14ac:dyDescent="0.45">
      <c r="A39" s="925" t="s">
        <v>730</v>
      </c>
      <c r="B39" s="926">
        <f>B41+B42</f>
        <v>213713661</v>
      </c>
      <c r="C39" s="927">
        <v>250867246.336</v>
      </c>
      <c r="D39" s="969">
        <f>C39-B39</f>
        <v>37153585.335999995</v>
      </c>
      <c r="L39" s="941"/>
      <c r="M39" s="946"/>
      <c r="N39" s="911"/>
      <c r="X39" s="916"/>
      <c r="Y39" s="917"/>
      <c r="Z39" s="918"/>
      <c r="AA39" s="916"/>
      <c r="AB39" s="916"/>
    </row>
    <row r="40" spans="1:28" ht="26.25" x14ac:dyDescent="0.4">
      <c r="A40" s="928" t="s">
        <v>391</v>
      </c>
      <c r="B40" s="929"/>
      <c r="C40" s="930"/>
      <c r="D40" s="970"/>
      <c r="L40" s="942"/>
      <c r="M40" s="949"/>
      <c r="X40" s="931"/>
      <c r="Y40" s="932"/>
    </row>
    <row r="41" spans="1:28" ht="105" x14ac:dyDescent="0.25">
      <c r="A41" s="928" t="s">
        <v>844</v>
      </c>
      <c r="B41" s="929">
        <v>210213661</v>
      </c>
      <c r="C41" s="930">
        <f>B41*C37</f>
        <v>247211265.336</v>
      </c>
      <c r="D41" s="970"/>
      <c r="L41" s="942"/>
      <c r="M41" s="949"/>
    </row>
    <row r="42" spans="1:28" ht="78.75" x14ac:dyDescent="0.25">
      <c r="A42" s="928" t="s">
        <v>845</v>
      </c>
      <c r="B42" s="929">
        <v>3500000</v>
      </c>
      <c r="C42" s="930">
        <f>B42*C38</f>
        <v>3655981.0000000005</v>
      </c>
      <c r="D42" s="970"/>
      <c r="L42" s="942"/>
      <c r="M42" s="949"/>
    </row>
  </sheetData>
  <mergeCells count="35">
    <mergeCell ref="A34:A35"/>
    <mergeCell ref="B34:B35"/>
    <mergeCell ref="C34:C35"/>
    <mergeCell ref="W5:W6"/>
    <mergeCell ref="X5:X6"/>
    <mergeCell ref="K5:K6"/>
    <mergeCell ref="L5:L6"/>
    <mergeCell ref="M5:M6"/>
    <mergeCell ref="N5:N6"/>
    <mergeCell ref="Z5:Z6"/>
    <mergeCell ref="AA5:AB5"/>
    <mergeCell ref="AC5:AD5"/>
    <mergeCell ref="O5:O6"/>
    <mergeCell ref="P5:P6"/>
    <mergeCell ref="Q5:Q6"/>
    <mergeCell ref="R5:R6"/>
    <mergeCell ref="S5:S6"/>
    <mergeCell ref="V5:V6"/>
    <mergeCell ref="Y5:Y6"/>
    <mergeCell ref="A1:AD1"/>
    <mergeCell ref="A4:A6"/>
    <mergeCell ref="B4:B6"/>
    <mergeCell ref="C4:G4"/>
    <mergeCell ref="I4:I6"/>
    <mergeCell ref="J4:J6"/>
    <mergeCell ref="K4:S4"/>
    <mergeCell ref="T4:T6"/>
    <mergeCell ref="U4:U6"/>
    <mergeCell ref="V4:Z4"/>
    <mergeCell ref="AA4:AD4"/>
    <mergeCell ref="C5:C6"/>
    <mergeCell ref="D5:D6"/>
    <mergeCell ref="E5:E6"/>
    <mergeCell ref="F5:F6"/>
    <mergeCell ref="G5:G6"/>
  </mergeCells>
  <conditionalFormatting sqref="AA8:AD20">
    <cfRule type="cellIs" dxfId="14" priority="1" operator="lessThan">
      <formula>0</formula>
    </cfRule>
  </conditionalFormatting>
  <pageMargins left="0.25" right="0.25" top="0.75" bottom="0.75" header="0.3" footer="0.3"/>
  <pageSetup paperSize="8" scale="2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315D-51D1-44A9-8FB8-D6CD1BBE317F}">
  <dimension ref="A1:Z55"/>
  <sheetViews>
    <sheetView topLeftCell="A19" workbookViewId="0">
      <selection activeCell="G13" sqref="G13"/>
    </sheetView>
  </sheetViews>
  <sheetFormatPr defaultRowHeight="12.75" x14ac:dyDescent="0.2"/>
  <cols>
    <col min="1" max="1" width="44" customWidth="1"/>
    <col min="3" max="3" width="9.5703125" customWidth="1"/>
    <col min="4" max="5" width="13.7109375" customWidth="1"/>
    <col min="6" max="6" width="13.42578125" customWidth="1"/>
    <col min="7" max="9" width="9.28515625" bestFit="1" customWidth="1"/>
    <col min="10" max="10" width="9.5703125" bestFit="1" customWidth="1"/>
    <col min="11" max="12" width="9.28515625" bestFit="1" customWidth="1"/>
    <col min="13" max="15" width="11.85546875" customWidth="1"/>
    <col min="16" max="16" width="12.28515625" bestFit="1" customWidth="1"/>
    <col min="17" max="17" width="9.28515625" bestFit="1" customWidth="1"/>
    <col min="18" max="18" width="12.7109375" customWidth="1"/>
    <col min="19" max="19" width="11.42578125" bestFit="1" customWidth="1"/>
    <col min="20" max="20" width="13.42578125" customWidth="1"/>
    <col min="21" max="21" width="10.5703125" bestFit="1" customWidth="1"/>
    <col min="26" max="26" width="11.42578125" bestFit="1" customWidth="1"/>
  </cols>
  <sheetData>
    <row r="1" spans="1:26" x14ac:dyDescent="0.2">
      <c r="A1" s="1552" t="s">
        <v>823</v>
      </c>
      <c r="B1" s="1552" t="s">
        <v>291</v>
      </c>
      <c r="C1" s="1552" t="s">
        <v>291</v>
      </c>
      <c r="D1" s="1552"/>
      <c r="E1" s="1552"/>
      <c r="F1" s="1552"/>
      <c r="G1" s="1552" t="s">
        <v>291</v>
      </c>
      <c r="H1" s="1552" t="s">
        <v>291</v>
      </c>
      <c r="I1" s="1552" t="s">
        <v>291</v>
      </c>
      <c r="J1" s="1552" t="s">
        <v>291</v>
      </c>
      <c r="K1" s="1552" t="s">
        <v>291</v>
      </c>
      <c r="L1" s="1552" t="s">
        <v>291</v>
      </c>
      <c r="M1" s="1552"/>
      <c r="N1" s="1552"/>
      <c r="O1" s="1552"/>
      <c r="P1" s="1552" t="s">
        <v>291</v>
      </c>
      <c r="Q1" s="1552" t="s">
        <v>291</v>
      </c>
      <c r="R1" s="1552" t="s">
        <v>291</v>
      </c>
      <c r="S1" s="1552" t="s">
        <v>291</v>
      </c>
      <c r="T1" s="1552" t="s">
        <v>291</v>
      </c>
      <c r="U1" s="1552" t="s">
        <v>291</v>
      </c>
      <c r="V1" s="1552" t="s">
        <v>291</v>
      </c>
      <c r="W1" t="s">
        <v>355</v>
      </c>
      <c r="Z1" s="152" t="e">
        <f>#REF!</f>
        <v>#REF!</v>
      </c>
    </row>
    <row r="2" spans="1:26" x14ac:dyDescent="0.2">
      <c r="A2" s="1553" t="s">
        <v>292</v>
      </c>
      <c r="B2" s="1553" t="s">
        <v>293</v>
      </c>
      <c r="C2" s="1556" t="s">
        <v>294</v>
      </c>
      <c r="D2" s="1557"/>
      <c r="E2" s="1557"/>
      <c r="F2" s="1557"/>
      <c r="G2" s="1557" t="s">
        <v>294</v>
      </c>
      <c r="H2" s="1557" t="s">
        <v>294</v>
      </c>
      <c r="I2" s="1557" t="s">
        <v>294</v>
      </c>
      <c r="J2" s="1557" t="s">
        <v>294</v>
      </c>
      <c r="K2" s="1557" t="s">
        <v>294</v>
      </c>
      <c r="L2" s="1557" t="s">
        <v>294</v>
      </c>
      <c r="M2" s="1557"/>
      <c r="N2" s="1557"/>
      <c r="O2" s="1557"/>
      <c r="P2" s="1557" t="s">
        <v>294</v>
      </c>
      <c r="Q2" s="1557" t="s">
        <v>294</v>
      </c>
      <c r="R2" s="1557" t="s">
        <v>294</v>
      </c>
      <c r="S2" s="1557" t="s">
        <v>294</v>
      </c>
      <c r="T2" s="1557" t="s">
        <v>294</v>
      </c>
      <c r="U2" s="1558" t="s">
        <v>294</v>
      </c>
      <c r="W2" t="s">
        <v>558</v>
      </c>
      <c r="Z2" s="188" t="e">
        <f>#REF!</f>
        <v>#REF!</v>
      </c>
    </row>
    <row r="3" spans="1:26" x14ac:dyDescent="0.2">
      <c r="A3" s="1554"/>
      <c r="B3" s="1554"/>
      <c r="C3" s="1549" t="s">
        <v>295</v>
      </c>
      <c r="D3" s="1550"/>
      <c r="E3" s="1550"/>
      <c r="F3" s="1550"/>
      <c r="G3" s="1550" t="s">
        <v>295</v>
      </c>
      <c r="H3" s="1550" t="s">
        <v>295</v>
      </c>
      <c r="I3" s="1550" t="s">
        <v>295</v>
      </c>
      <c r="J3" s="1550" t="s">
        <v>295</v>
      </c>
      <c r="K3" s="1550" t="s">
        <v>295</v>
      </c>
      <c r="L3" s="1548" t="s">
        <v>296</v>
      </c>
      <c r="M3" s="212"/>
      <c r="N3" s="212"/>
      <c r="O3" s="212"/>
      <c r="P3" s="1549" t="s">
        <v>297</v>
      </c>
      <c r="Q3" s="1550" t="s">
        <v>297</v>
      </c>
      <c r="R3" s="1550" t="s">
        <v>297</v>
      </c>
      <c r="S3" s="1550" t="s">
        <v>297</v>
      </c>
      <c r="T3" s="1550" t="s">
        <v>297</v>
      </c>
      <c r="U3" s="1551" t="s">
        <v>297</v>
      </c>
      <c r="W3" t="s">
        <v>356</v>
      </c>
      <c r="Z3" s="188" t="e">
        <f>#REF!</f>
        <v>#REF!</v>
      </c>
    </row>
    <row r="4" spans="1:26" x14ac:dyDescent="0.2">
      <c r="A4" s="1554"/>
      <c r="B4" s="1554"/>
      <c r="C4" s="1548" t="s">
        <v>298</v>
      </c>
      <c r="D4" s="212"/>
      <c r="E4" s="212"/>
      <c r="F4" s="212"/>
      <c r="G4" s="1549" t="s">
        <v>299</v>
      </c>
      <c r="H4" s="1550" t="s">
        <v>299</v>
      </c>
      <c r="I4" s="1550" t="s">
        <v>299</v>
      </c>
      <c r="J4" s="1549" t="s">
        <v>300</v>
      </c>
      <c r="K4" s="1550" t="s">
        <v>300</v>
      </c>
      <c r="L4" s="1548" t="s">
        <v>296</v>
      </c>
      <c r="M4" s="212"/>
      <c r="N4" s="212"/>
      <c r="O4" s="212"/>
      <c r="P4" s="1548" t="s">
        <v>301</v>
      </c>
      <c r="Q4" s="1549" t="s">
        <v>302</v>
      </c>
      <c r="R4" s="1550" t="s">
        <v>302</v>
      </c>
      <c r="S4" s="1550" t="s">
        <v>302</v>
      </c>
      <c r="T4" s="1549" t="s">
        <v>303</v>
      </c>
      <c r="U4" s="1551" t="s">
        <v>303</v>
      </c>
    </row>
    <row r="5" spans="1:26" ht="135" x14ac:dyDescent="0.2">
      <c r="A5" s="1555"/>
      <c r="B5" s="1555"/>
      <c r="C5" s="1549" t="s">
        <v>298</v>
      </c>
      <c r="D5" s="554" t="s">
        <v>559</v>
      </c>
      <c r="E5" s="120"/>
      <c r="F5" s="123" t="s">
        <v>354</v>
      </c>
      <c r="G5" s="120" t="s">
        <v>304</v>
      </c>
      <c r="H5" s="120" t="s">
        <v>305</v>
      </c>
      <c r="I5" s="120" t="s">
        <v>306</v>
      </c>
      <c r="J5" s="120" t="s">
        <v>307</v>
      </c>
      <c r="K5" s="120" t="s">
        <v>308</v>
      </c>
      <c r="L5" s="1549" t="s">
        <v>296</v>
      </c>
      <c r="M5" s="123"/>
      <c r="N5" s="123"/>
      <c r="O5" s="123"/>
      <c r="P5" s="1549" t="s">
        <v>301</v>
      </c>
      <c r="Q5" s="120" t="s">
        <v>309</v>
      </c>
      <c r="R5" s="120" t="s">
        <v>305</v>
      </c>
      <c r="S5" s="120" t="s">
        <v>306</v>
      </c>
      <c r="T5" s="120" t="s">
        <v>307</v>
      </c>
      <c r="U5" s="121" t="s">
        <v>308</v>
      </c>
    </row>
    <row r="6" spans="1:26" x14ac:dyDescent="0.2">
      <c r="A6" s="5" t="s">
        <v>204</v>
      </c>
      <c r="B6" s="5" t="s">
        <v>206</v>
      </c>
      <c r="C6" s="555" t="s">
        <v>259</v>
      </c>
      <c r="D6" s="556"/>
      <c r="E6" s="555"/>
      <c r="F6" s="557"/>
      <c r="G6" s="555" t="s">
        <v>261</v>
      </c>
      <c r="H6" s="555" t="s">
        <v>263</v>
      </c>
      <c r="I6" s="555" t="s">
        <v>310</v>
      </c>
      <c r="J6" s="555" t="s">
        <v>311</v>
      </c>
      <c r="K6" s="555" t="s">
        <v>312</v>
      </c>
      <c r="L6" s="555" t="s">
        <v>313</v>
      </c>
      <c r="M6" s="557"/>
      <c r="N6" s="557"/>
      <c r="O6" s="557"/>
      <c r="P6" s="555" t="s">
        <v>314</v>
      </c>
      <c r="Q6" s="555" t="s">
        <v>315</v>
      </c>
      <c r="R6" s="555" t="s">
        <v>316</v>
      </c>
      <c r="S6" s="555" t="s">
        <v>317</v>
      </c>
      <c r="T6" s="555" t="s">
        <v>318</v>
      </c>
      <c r="U6" s="555" t="s">
        <v>319</v>
      </c>
    </row>
    <row r="7" spans="1:26" ht="21" x14ac:dyDescent="0.2">
      <c r="A7" s="558" t="s">
        <v>320</v>
      </c>
      <c r="B7" s="559" t="s">
        <v>321</v>
      </c>
      <c r="C7" s="835" t="s">
        <v>87</v>
      </c>
      <c r="D7" s="560"/>
      <c r="E7" s="570"/>
      <c r="F7" s="561"/>
      <c r="G7" s="835" t="s">
        <v>87</v>
      </c>
      <c r="H7" s="835" t="s">
        <v>87</v>
      </c>
      <c r="I7" s="835" t="s">
        <v>87</v>
      </c>
      <c r="J7" s="835" t="s">
        <v>87</v>
      </c>
      <c r="K7" s="835" t="s">
        <v>87</v>
      </c>
      <c r="L7" s="835" t="s">
        <v>87</v>
      </c>
      <c r="M7" s="561"/>
      <c r="N7" s="561"/>
      <c r="O7" s="561"/>
      <c r="P7" s="839">
        <v>1509864344.3</v>
      </c>
      <c r="Q7" s="839">
        <v>0</v>
      </c>
      <c r="R7" s="839">
        <v>1076885478.2</v>
      </c>
      <c r="S7" s="839">
        <v>245212324.30000001</v>
      </c>
      <c r="T7" s="839">
        <v>1455291139.2</v>
      </c>
      <c r="U7" s="839">
        <v>54573205.100000001</v>
      </c>
    </row>
    <row r="8" spans="1:26" ht="22.5" x14ac:dyDescent="0.2">
      <c r="A8" s="562" t="s">
        <v>322</v>
      </c>
      <c r="B8" s="122" t="s">
        <v>560</v>
      </c>
      <c r="C8" s="836" t="s">
        <v>87</v>
      </c>
      <c r="D8" s="563"/>
      <c r="E8" s="571"/>
      <c r="F8" s="564"/>
      <c r="G8" s="836" t="s">
        <v>87</v>
      </c>
      <c r="H8" s="836" t="s">
        <v>87</v>
      </c>
      <c r="I8" s="836" t="s">
        <v>87</v>
      </c>
      <c r="J8" s="836" t="s">
        <v>87</v>
      </c>
      <c r="K8" s="836" t="s">
        <v>87</v>
      </c>
      <c r="L8" s="836" t="s">
        <v>87</v>
      </c>
      <c r="M8" s="564"/>
      <c r="N8" s="564"/>
      <c r="O8" s="564"/>
      <c r="P8" s="840">
        <v>9800711</v>
      </c>
      <c r="Q8" s="840">
        <v>0</v>
      </c>
      <c r="R8" s="840">
        <v>7379326.0999999996</v>
      </c>
      <c r="S8" s="840">
        <v>1371238.3999999999</v>
      </c>
      <c r="T8" s="840">
        <v>9221805.8000000007</v>
      </c>
      <c r="U8" s="840">
        <v>578905.19999999995</v>
      </c>
    </row>
    <row r="9" spans="1:26" x14ac:dyDescent="0.2">
      <c r="A9" s="569" t="s">
        <v>323</v>
      </c>
      <c r="B9" s="122" t="s">
        <v>208</v>
      </c>
      <c r="C9" s="837">
        <v>17327423</v>
      </c>
      <c r="D9" s="565">
        <f>C9</f>
        <v>17327423</v>
      </c>
      <c r="E9" s="572"/>
      <c r="F9" s="566" t="e">
        <f>ROUND((C9/$Z$1),5)</f>
        <v>#REF!</v>
      </c>
      <c r="G9" s="837">
        <v>0</v>
      </c>
      <c r="H9" s="837">
        <v>12704891</v>
      </c>
      <c r="I9" s="837">
        <v>2593726</v>
      </c>
      <c r="J9" s="837">
        <v>16614537</v>
      </c>
      <c r="K9" s="837">
        <v>712886</v>
      </c>
      <c r="L9" s="838">
        <v>5532.83</v>
      </c>
      <c r="M9" s="567" t="e">
        <f>L9/$Z$2/$Z$3</f>
        <v>#REF!</v>
      </c>
      <c r="N9" s="567"/>
      <c r="O9" s="567"/>
      <c r="P9" s="840">
        <v>95869660.799999997</v>
      </c>
      <c r="Q9" s="840">
        <v>0</v>
      </c>
      <c r="R9" s="840">
        <v>59892351.100000001</v>
      </c>
      <c r="S9" s="840">
        <v>12270655.5</v>
      </c>
      <c r="T9" s="840">
        <v>93012243.799999997</v>
      </c>
      <c r="U9" s="840">
        <v>2857417</v>
      </c>
      <c r="V9" s="568"/>
    </row>
    <row r="10" spans="1:26" x14ac:dyDescent="0.2">
      <c r="A10" s="562" t="s">
        <v>322</v>
      </c>
      <c r="B10" s="122" t="s">
        <v>210</v>
      </c>
      <c r="C10" s="837">
        <v>29759</v>
      </c>
      <c r="D10" s="565">
        <f t="shared" ref="D10:D53" si="0">C10</f>
        <v>29759</v>
      </c>
      <c r="E10" s="572"/>
      <c r="F10" s="566" t="e">
        <f t="shared" ref="F10:F53" si="1">ROUND((C10/$Z$1),5)</f>
        <v>#REF!</v>
      </c>
      <c r="G10" s="837">
        <v>0</v>
      </c>
      <c r="H10" s="837">
        <v>22046</v>
      </c>
      <c r="I10" s="837">
        <v>5698</v>
      </c>
      <c r="J10" s="837">
        <v>27675</v>
      </c>
      <c r="K10" s="837">
        <v>2084</v>
      </c>
      <c r="L10" s="838">
        <v>4623.57</v>
      </c>
      <c r="M10" s="567" t="e">
        <f t="shared" ref="M10:M53" si="2">L10/$Z$2/$Z$3</f>
        <v>#REF!</v>
      </c>
      <c r="N10" s="567"/>
      <c r="O10" s="567"/>
      <c r="P10" s="840">
        <v>137592.9</v>
      </c>
      <c r="Q10" s="840">
        <v>0</v>
      </c>
      <c r="R10" s="840">
        <v>100439.6</v>
      </c>
      <c r="S10" s="840">
        <v>27480</v>
      </c>
      <c r="T10" s="840">
        <v>128929.60000000001</v>
      </c>
      <c r="U10" s="840">
        <v>8663.2999999999993</v>
      </c>
    </row>
    <row r="11" spans="1:26" ht="22.5" x14ac:dyDescent="0.2">
      <c r="A11" s="562" t="s">
        <v>324</v>
      </c>
      <c r="B11" s="122" t="s">
        <v>561</v>
      </c>
      <c r="C11" s="836" t="s">
        <v>87</v>
      </c>
      <c r="D11" s="565" t="str">
        <f t="shared" si="0"/>
        <v>x</v>
      </c>
      <c r="E11" s="572"/>
      <c r="F11" s="566" t="s">
        <v>358</v>
      </c>
      <c r="G11" s="836" t="s">
        <v>87</v>
      </c>
      <c r="H11" s="836" t="s">
        <v>87</v>
      </c>
      <c r="I11" s="836" t="s">
        <v>87</v>
      </c>
      <c r="J11" s="836" t="s">
        <v>87</v>
      </c>
      <c r="K11" s="836" t="s">
        <v>87</v>
      </c>
      <c r="L11" s="836" t="s">
        <v>87</v>
      </c>
      <c r="M11" s="567"/>
      <c r="N11" s="567"/>
      <c r="O11" s="567"/>
      <c r="P11" s="840">
        <v>595877056.29999995</v>
      </c>
      <c r="Q11" s="840">
        <v>0</v>
      </c>
      <c r="R11" s="840">
        <v>388812648.30000001</v>
      </c>
      <c r="S11" s="840">
        <v>138263294.69999999</v>
      </c>
      <c r="T11" s="840">
        <v>586921208.79999995</v>
      </c>
      <c r="U11" s="840">
        <v>8955847.5</v>
      </c>
    </row>
    <row r="12" spans="1:26" x14ac:dyDescent="0.2">
      <c r="A12" s="562" t="s">
        <v>325</v>
      </c>
      <c r="B12" s="122" t="s">
        <v>326</v>
      </c>
      <c r="C12" s="837">
        <v>51872465</v>
      </c>
      <c r="D12" s="565">
        <f t="shared" si="0"/>
        <v>51872465</v>
      </c>
      <c r="E12" s="572"/>
      <c r="F12" s="566" t="e">
        <f t="shared" si="1"/>
        <v>#REF!</v>
      </c>
      <c r="G12" s="837">
        <v>0</v>
      </c>
      <c r="H12" s="837">
        <v>31258323</v>
      </c>
      <c r="I12" s="837">
        <v>14469352</v>
      </c>
      <c r="J12" s="837">
        <v>51541218</v>
      </c>
      <c r="K12" s="837">
        <v>331247</v>
      </c>
      <c r="L12" s="838">
        <v>2622.26</v>
      </c>
      <c r="M12" s="567" t="e">
        <f t="shared" si="2"/>
        <v>#REF!</v>
      </c>
      <c r="N12" s="567"/>
      <c r="O12" s="567"/>
      <c r="P12" s="840">
        <v>136023150.80000001</v>
      </c>
      <c r="Q12" s="840">
        <v>0</v>
      </c>
      <c r="R12" s="840">
        <v>81918801</v>
      </c>
      <c r="S12" s="840">
        <v>38122803.799999997</v>
      </c>
      <c r="T12" s="840">
        <v>135585434.40000001</v>
      </c>
      <c r="U12" s="840">
        <v>437716.4</v>
      </c>
    </row>
    <row r="13" spans="1:26" x14ac:dyDescent="0.2">
      <c r="A13" s="569" t="s">
        <v>327</v>
      </c>
      <c r="B13" s="122" t="s">
        <v>216</v>
      </c>
      <c r="C13" s="837">
        <v>23680918</v>
      </c>
      <c r="D13" s="565">
        <f t="shared" si="0"/>
        <v>23680918</v>
      </c>
      <c r="E13" s="572"/>
      <c r="F13" s="566" t="e">
        <f t="shared" si="1"/>
        <v>#REF!</v>
      </c>
      <c r="G13" s="837">
        <v>0</v>
      </c>
      <c r="H13" s="837">
        <v>6654948</v>
      </c>
      <c r="I13" s="837">
        <v>14168857</v>
      </c>
      <c r="J13" s="837">
        <v>23476441</v>
      </c>
      <c r="K13" s="837">
        <v>204477</v>
      </c>
      <c r="L13" s="838">
        <v>2296.7399999999998</v>
      </c>
      <c r="M13" s="567" t="e">
        <f t="shared" si="2"/>
        <v>#REF!</v>
      </c>
      <c r="N13" s="567"/>
      <c r="O13" s="567"/>
      <c r="P13" s="840">
        <v>54388835.600000001</v>
      </c>
      <c r="Q13" s="840">
        <v>0</v>
      </c>
      <c r="R13" s="840">
        <v>11857696.9</v>
      </c>
      <c r="S13" s="840">
        <v>35843460.100000001</v>
      </c>
      <c r="T13" s="840">
        <v>54146062.100000001</v>
      </c>
      <c r="U13" s="840">
        <v>242773.5</v>
      </c>
    </row>
    <row r="14" spans="1:26" x14ac:dyDescent="0.2">
      <c r="A14" s="569" t="s">
        <v>328</v>
      </c>
      <c r="B14" s="122" t="s">
        <v>218</v>
      </c>
      <c r="C14" s="837">
        <v>28191547</v>
      </c>
      <c r="D14" s="565">
        <f t="shared" si="0"/>
        <v>28191547</v>
      </c>
      <c r="E14" s="572"/>
      <c r="F14" s="566" t="e">
        <f t="shared" si="1"/>
        <v>#REF!</v>
      </c>
      <c r="G14" s="837">
        <v>0</v>
      </c>
      <c r="H14" s="837">
        <v>24603375</v>
      </c>
      <c r="I14" s="837">
        <v>300495</v>
      </c>
      <c r="J14" s="837">
        <v>28064777</v>
      </c>
      <c r="K14" s="837">
        <v>126770</v>
      </c>
      <c r="L14" s="838">
        <v>2895.7</v>
      </c>
      <c r="M14" s="567" t="e">
        <f t="shared" si="2"/>
        <v>#REF!</v>
      </c>
      <c r="N14" s="567"/>
      <c r="O14" s="567"/>
      <c r="P14" s="840">
        <v>81634315.200000003</v>
      </c>
      <c r="Q14" s="840">
        <v>0</v>
      </c>
      <c r="R14" s="840">
        <v>70061104.099999994</v>
      </c>
      <c r="S14" s="840">
        <v>2279343.7000000002</v>
      </c>
      <c r="T14" s="840">
        <v>81439372.299999997</v>
      </c>
      <c r="U14" s="840">
        <v>194942.9</v>
      </c>
    </row>
    <row r="15" spans="1:26" x14ac:dyDescent="0.2">
      <c r="A15" s="569" t="s">
        <v>329</v>
      </c>
      <c r="B15" s="122" t="s">
        <v>220</v>
      </c>
      <c r="C15" s="837">
        <v>3517025</v>
      </c>
      <c r="D15" s="565">
        <f t="shared" si="0"/>
        <v>3517025</v>
      </c>
      <c r="E15" s="572"/>
      <c r="F15" s="566" t="e">
        <f t="shared" si="1"/>
        <v>#REF!</v>
      </c>
      <c r="G15" s="837">
        <v>0</v>
      </c>
      <c r="H15" s="837">
        <v>3128262</v>
      </c>
      <c r="I15" s="837">
        <v>18</v>
      </c>
      <c r="J15" s="837">
        <v>3511681</v>
      </c>
      <c r="K15" s="837">
        <v>5344</v>
      </c>
      <c r="L15" s="838">
        <v>1345.44</v>
      </c>
      <c r="M15" s="567" t="e">
        <f t="shared" si="2"/>
        <v>#REF!</v>
      </c>
      <c r="N15" s="567"/>
      <c r="O15" s="567"/>
      <c r="P15" s="840">
        <v>4731931.9000000004</v>
      </c>
      <c r="Q15" s="840">
        <v>0</v>
      </c>
      <c r="R15" s="840">
        <v>4233469</v>
      </c>
      <c r="S15" s="840">
        <v>44.6</v>
      </c>
      <c r="T15" s="840">
        <v>4727473.2</v>
      </c>
      <c r="U15" s="840">
        <v>4458.7</v>
      </c>
    </row>
    <row r="16" spans="1:26" ht="22.5" x14ac:dyDescent="0.2">
      <c r="A16" s="646" t="s">
        <v>562</v>
      </c>
      <c r="B16" s="122" t="s">
        <v>222</v>
      </c>
      <c r="C16" s="837">
        <v>1015107</v>
      </c>
      <c r="D16" s="565">
        <f t="shared" si="0"/>
        <v>1015107</v>
      </c>
      <c r="E16" s="572"/>
      <c r="F16" s="566" t="e">
        <f t="shared" si="1"/>
        <v>#REF!</v>
      </c>
      <c r="G16" s="837">
        <v>0</v>
      </c>
      <c r="H16" s="837">
        <v>914802</v>
      </c>
      <c r="I16" s="837">
        <v>83</v>
      </c>
      <c r="J16" s="837">
        <v>1014219</v>
      </c>
      <c r="K16" s="837">
        <v>888</v>
      </c>
      <c r="L16" s="838">
        <v>1921.63</v>
      </c>
      <c r="M16" s="567" t="e">
        <f t="shared" si="2"/>
        <v>#REF!</v>
      </c>
      <c r="N16" s="567"/>
      <c r="O16" s="567"/>
      <c r="P16" s="840">
        <v>1950662.8</v>
      </c>
      <c r="Q16" s="840">
        <v>0</v>
      </c>
      <c r="R16" s="840">
        <v>1747194.1</v>
      </c>
      <c r="S16" s="840">
        <v>428.3</v>
      </c>
      <c r="T16" s="840">
        <v>1948269</v>
      </c>
      <c r="U16" s="840">
        <v>2393.8000000000002</v>
      </c>
    </row>
    <row r="17" spans="1:21" x14ac:dyDescent="0.2">
      <c r="A17" s="569" t="s">
        <v>330</v>
      </c>
      <c r="B17" s="122" t="s">
        <v>224</v>
      </c>
      <c r="C17" s="837">
        <v>194798495</v>
      </c>
      <c r="D17" s="565">
        <f t="shared" si="0"/>
        <v>194798495</v>
      </c>
      <c r="E17" s="572"/>
      <c r="F17" s="566" t="e">
        <f t="shared" si="1"/>
        <v>#REF!</v>
      </c>
      <c r="G17" s="837">
        <v>0</v>
      </c>
      <c r="H17" s="837">
        <v>108465567</v>
      </c>
      <c r="I17" s="837">
        <v>63827283</v>
      </c>
      <c r="J17" s="837">
        <v>192268778</v>
      </c>
      <c r="K17" s="837">
        <v>2529717</v>
      </c>
      <c r="L17" s="838">
        <v>599.70000000000005</v>
      </c>
      <c r="M17" s="567" t="e">
        <f t="shared" si="2"/>
        <v>#REF!</v>
      </c>
      <c r="N17" s="567"/>
      <c r="O17" s="567"/>
      <c r="P17" s="840">
        <v>116820124.3</v>
      </c>
      <c r="Q17" s="840">
        <v>0</v>
      </c>
      <c r="R17" s="840">
        <v>63957899.200000003</v>
      </c>
      <c r="S17" s="840">
        <v>36690049</v>
      </c>
      <c r="T17" s="840">
        <v>113462976.8</v>
      </c>
      <c r="U17" s="840">
        <v>3357147.5</v>
      </c>
    </row>
    <row r="18" spans="1:21" x14ac:dyDescent="0.2">
      <c r="A18" s="646" t="s">
        <v>331</v>
      </c>
      <c r="B18" s="122" t="s">
        <v>226</v>
      </c>
      <c r="C18" s="837">
        <v>246764</v>
      </c>
      <c r="D18" s="565">
        <f t="shared" si="0"/>
        <v>246764</v>
      </c>
      <c r="E18" s="572"/>
      <c r="F18" s="566" t="e">
        <f t="shared" si="1"/>
        <v>#REF!</v>
      </c>
      <c r="G18" s="837">
        <v>0</v>
      </c>
      <c r="H18" s="837">
        <v>181223</v>
      </c>
      <c r="I18" s="837">
        <v>5924</v>
      </c>
      <c r="J18" s="837">
        <v>246375</v>
      </c>
      <c r="K18" s="837">
        <v>389</v>
      </c>
      <c r="L18" s="838">
        <v>1168.1300000000001</v>
      </c>
      <c r="M18" s="567" t="e">
        <f t="shared" si="2"/>
        <v>#REF!</v>
      </c>
      <c r="N18" s="567"/>
      <c r="O18" s="567"/>
      <c r="P18" s="840">
        <v>288253.59999999998</v>
      </c>
      <c r="Q18" s="840">
        <v>0</v>
      </c>
      <c r="R18" s="840">
        <v>230669.9</v>
      </c>
      <c r="S18" s="840">
        <v>11805.5</v>
      </c>
      <c r="T18" s="840">
        <v>288089.59999999998</v>
      </c>
      <c r="U18" s="840">
        <v>164</v>
      </c>
    </row>
    <row r="19" spans="1:21" x14ac:dyDescent="0.2">
      <c r="A19" s="569" t="s">
        <v>332</v>
      </c>
      <c r="B19" s="122" t="s">
        <v>228</v>
      </c>
      <c r="C19" s="837">
        <v>35051053</v>
      </c>
      <c r="D19" s="565">
        <f t="shared" si="0"/>
        <v>35051053</v>
      </c>
      <c r="E19" s="572"/>
      <c r="F19" s="566" t="e">
        <f t="shared" si="1"/>
        <v>#REF!</v>
      </c>
      <c r="G19" s="837">
        <v>0</v>
      </c>
      <c r="H19" s="837">
        <v>21308404</v>
      </c>
      <c r="I19" s="837">
        <v>9335423</v>
      </c>
      <c r="J19" s="837">
        <v>34037442</v>
      </c>
      <c r="K19" s="837">
        <v>1013611</v>
      </c>
      <c r="L19" s="838">
        <v>976.16</v>
      </c>
      <c r="M19" s="567" t="e">
        <f t="shared" si="2"/>
        <v>#REF!</v>
      </c>
      <c r="N19" s="567"/>
      <c r="O19" s="567"/>
      <c r="P19" s="840">
        <v>34215488.799999997</v>
      </c>
      <c r="Q19" s="840">
        <v>0</v>
      </c>
      <c r="R19" s="840">
        <v>19619985.199999999</v>
      </c>
      <c r="S19" s="840">
        <v>9098757.1999999993</v>
      </c>
      <c r="T19" s="840">
        <v>33135172.800000001</v>
      </c>
      <c r="U19" s="840">
        <v>1080316</v>
      </c>
    </row>
    <row r="20" spans="1:21" x14ac:dyDescent="0.2">
      <c r="A20" s="569" t="s">
        <v>333</v>
      </c>
      <c r="B20" s="122" t="s">
        <v>230</v>
      </c>
      <c r="C20" s="837">
        <v>263534</v>
      </c>
      <c r="D20" s="565">
        <f t="shared" si="0"/>
        <v>263534</v>
      </c>
      <c r="E20" s="572"/>
      <c r="F20" s="566" t="e">
        <f t="shared" si="1"/>
        <v>#REF!</v>
      </c>
      <c r="G20" s="837">
        <v>0</v>
      </c>
      <c r="H20" s="837">
        <v>158292</v>
      </c>
      <c r="I20" s="837">
        <v>76673</v>
      </c>
      <c r="J20" s="837">
        <v>258757</v>
      </c>
      <c r="K20" s="837">
        <v>4777</v>
      </c>
      <c r="L20" s="838">
        <v>20976.67</v>
      </c>
      <c r="M20" s="567" t="e">
        <f t="shared" si="2"/>
        <v>#REF!</v>
      </c>
      <c r="N20" s="567"/>
      <c r="O20" s="567"/>
      <c r="P20" s="840">
        <v>5528065.5</v>
      </c>
      <c r="Q20" s="840">
        <v>0</v>
      </c>
      <c r="R20" s="840">
        <v>3511050.6</v>
      </c>
      <c r="S20" s="840">
        <v>1457810.3</v>
      </c>
      <c r="T20" s="840">
        <v>5428773</v>
      </c>
      <c r="U20" s="840">
        <v>99292.5</v>
      </c>
    </row>
    <row r="21" spans="1:21" x14ac:dyDescent="0.2">
      <c r="A21" s="562" t="s">
        <v>334</v>
      </c>
      <c r="B21" s="122" t="s">
        <v>232</v>
      </c>
      <c r="C21" s="837">
        <v>591</v>
      </c>
      <c r="D21" s="565">
        <f t="shared" si="0"/>
        <v>591</v>
      </c>
      <c r="E21" s="572"/>
      <c r="F21" s="566" t="e">
        <f t="shared" si="1"/>
        <v>#REF!</v>
      </c>
      <c r="G21" s="837">
        <v>0</v>
      </c>
      <c r="H21" s="837">
        <v>521</v>
      </c>
      <c r="I21" s="837">
        <v>70</v>
      </c>
      <c r="J21" s="837">
        <v>585</v>
      </c>
      <c r="K21" s="837">
        <v>6</v>
      </c>
      <c r="L21" s="838">
        <v>18415.23</v>
      </c>
      <c r="M21" s="567" t="e">
        <f t="shared" si="2"/>
        <v>#REF!</v>
      </c>
      <c r="N21" s="567"/>
      <c r="O21" s="567"/>
      <c r="P21" s="840">
        <v>10883.4</v>
      </c>
      <c r="Q21" s="840">
        <v>0</v>
      </c>
      <c r="R21" s="840">
        <v>9261.4</v>
      </c>
      <c r="S21" s="840">
        <v>1622</v>
      </c>
      <c r="T21" s="840">
        <v>10774.8</v>
      </c>
      <c r="U21" s="840">
        <v>108.6</v>
      </c>
    </row>
    <row r="22" spans="1:21" x14ac:dyDescent="0.2">
      <c r="A22" s="562" t="s">
        <v>335</v>
      </c>
      <c r="B22" s="122" t="s">
        <v>234</v>
      </c>
      <c r="C22" s="837">
        <v>1566</v>
      </c>
      <c r="D22" s="565">
        <f t="shared" si="0"/>
        <v>1566</v>
      </c>
      <c r="E22" s="572"/>
      <c r="F22" s="566" t="e">
        <f t="shared" si="1"/>
        <v>#REF!</v>
      </c>
      <c r="G22" s="837">
        <v>0</v>
      </c>
      <c r="H22" s="837">
        <v>1229</v>
      </c>
      <c r="I22" s="837">
        <v>185</v>
      </c>
      <c r="J22" s="837">
        <v>1563</v>
      </c>
      <c r="K22" s="837">
        <v>3</v>
      </c>
      <c r="L22" s="838">
        <v>1582.06</v>
      </c>
      <c r="M22" s="567" t="e">
        <f t="shared" si="2"/>
        <v>#REF!</v>
      </c>
      <c r="N22" s="567"/>
      <c r="O22" s="567"/>
      <c r="P22" s="840">
        <v>2477.5</v>
      </c>
      <c r="Q22" s="840">
        <v>0</v>
      </c>
      <c r="R22" s="840">
        <v>2253.8000000000002</v>
      </c>
      <c r="S22" s="840">
        <v>147</v>
      </c>
      <c r="T22" s="840">
        <v>2475.6999999999998</v>
      </c>
      <c r="U22" s="840">
        <v>1.8</v>
      </c>
    </row>
    <row r="23" spans="1:21" x14ac:dyDescent="0.2">
      <c r="A23" s="569" t="s">
        <v>336</v>
      </c>
      <c r="B23" s="122" t="s">
        <v>236</v>
      </c>
      <c r="C23" s="837">
        <v>93593266</v>
      </c>
      <c r="D23" s="565">
        <f t="shared" si="0"/>
        <v>93593266</v>
      </c>
      <c r="E23" s="572"/>
      <c r="F23" s="566" t="e">
        <f t="shared" si="1"/>
        <v>#REF!</v>
      </c>
      <c r="G23" s="837">
        <v>0</v>
      </c>
      <c r="H23" s="837">
        <v>61514281</v>
      </c>
      <c r="I23" s="837">
        <v>23219257</v>
      </c>
      <c r="J23" s="837">
        <v>91631912</v>
      </c>
      <c r="K23" s="837">
        <v>1961354</v>
      </c>
      <c r="L23" s="838">
        <v>2904.91</v>
      </c>
      <c r="M23" s="567" t="e">
        <f t="shared" si="2"/>
        <v>#REF!</v>
      </c>
      <c r="N23" s="567"/>
      <c r="O23" s="567"/>
      <c r="P23" s="840">
        <v>271880433.69999999</v>
      </c>
      <c r="Q23" s="840">
        <v>0</v>
      </c>
      <c r="R23" s="840">
        <v>192678923</v>
      </c>
      <c r="S23" s="840">
        <v>52801899.200000003</v>
      </c>
      <c r="T23" s="840">
        <v>267982504.80000001</v>
      </c>
      <c r="U23" s="840">
        <v>3897928.9</v>
      </c>
    </row>
    <row r="24" spans="1:21" ht="22.5" x14ac:dyDescent="0.2">
      <c r="A24" s="562" t="s">
        <v>337</v>
      </c>
      <c r="B24" s="122" t="s">
        <v>238</v>
      </c>
      <c r="C24" s="837">
        <v>243384</v>
      </c>
      <c r="D24" s="565">
        <f t="shared" si="0"/>
        <v>243384</v>
      </c>
      <c r="E24" s="572"/>
      <c r="F24" s="566" t="e">
        <f t="shared" si="1"/>
        <v>#REF!</v>
      </c>
      <c r="G24" s="837">
        <v>0</v>
      </c>
      <c r="H24" s="837">
        <v>189183</v>
      </c>
      <c r="I24" s="837">
        <v>37467</v>
      </c>
      <c r="J24" s="837">
        <v>236407</v>
      </c>
      <c r="K24" s="837">
        <v>6977</v>
      </c>
      <c r="L24" s="838">
        <v>1637.42</v>
      </c>
      <c r="M24" s="567" t="e">
        <f t="shared" si="2"/>
        <v>#REF!</v>
      </c>
      <c r="N24" s="567"/>
      <c r="O24" s="567"/>
      <c r="P24" s="840">
        <v>398521.4</v>
      </c>
      <c r="Q24" s="840">
        <v>0</v>
      </c>
      <c r="R24" s="840">
        <v>284176.09999999998</v>
      </c>
      <c r="S24" s="840">
        <v>59680.7</v>
      </c>
      <c r="T24" s="840">
        <v>390746.3</v>
      </c>
      <c r="U24" s="840">
        <v>7775.1</v>
      </c>
    </row>
    <row r="25" spans="1:21" x14ac:dyDescent="0.2">
      <c r="A25" s="569" t="s">
        <v>22</v>
      </c>
      <c r="B25" s="122" t="s">
        <v>240</v>
      </c>
      <c r="C25" s="837">
        <v>4161664</v>
      </c>
      <c r="D25" s="565">
        <f t="shared" si="0"/>
        <v>4161664</v>
      </c>
      <c r="E25" s="572"/>
      <c r="F25" s="566" t="e">
        <f t="shared" si="1"/>
        <v>#REF!</v>
      </c>
      <c r="G25" s="837">
        <v>0</v>
      </c>
      <c r="H25" s="837">
        <v>3565148</v>
      </c>
      <c r="I25" s="837">
        <v>130045</v>
      </c>
      <c r="J25" s="837">
        <v>4106076</v>
      </c>
      <c r="K25" s="837">
        <v>55588</v>
      </c>
      <c r="L25" s="838">
        <v>3061.1</v>
      </c>
      <c r="M25" s="567" t="e">
        <f t="shared" si="2"/>
        <v>#REF!</v>
      </c>
      <c r="N25" s="567"/>
      <c r="O25" s="567"/>
      <c r="P25" s="840">
        <v>12739278.699999999</v>
      </c>
      <c r="Q25" s="840">
        <v>0</v>
      </c>
      <c r="R25" s="840">
        <v>10850454.5</v>
      </c>
      <c r="S25" s="840">
        <v>290511</v>
      </c>
      <c r="T25" s="840">
        <v>12397614.1</v>
      </c>
      <c r="U25" s="840">
        <v>341664.6</v>
      </c>
    </row>
    <row r="26" spans="1:21" x14ac:dyDescent="0.2">
      <c r="A26" s="569" t="s">
        <v>338</v>
      </c>
      <c r="B26" s="122" t="s">
        <v>242</v>
      </c>
      <c r="C26" s="837">
        <v>1586446</v>
      </c>
      <c r="D26" s="565">
        <f t="shared" si="0"/>
        <v>1586446</v>
      </c>
      <c r="E26" s="572"/>
      <c r="F26" s="566" t="e">
        <f t="shared" si="1"/>
        <v>#REF!</v>
      </c>
      <c r="G26" s="837">
        <v>0</v>
      </c>
      <c r="H26" s="837">
        <v>1303842</v>
      </c>
      <c r="I26" s="837">
        <v>119516</v>
      </c>
      <c r="J26" s="837">
        <v>1550870</v>
      </c>
      <c r="K26" s="837">
        <v>35576</v>
      </c>
      <c r="L26" s="838">
        <v>4044.69</v>
      </c>
      <c r="M26" s="567" t="e">
        <f t="shared" si="2"/>
        <v>#REF!</v>
      </c>
      <c r="N26" s="567"/>
      <c r="O26" s="567"/>
      <c r="P26" s="840">
        <v>6416686.0999999996</v>
      </c>
      <c r="Q26" s="840">
        <v>0</v>
      </c>
      <c r="R26" s="840">
        <v>5338792.8</v>
      </c>
      <c r="S26" s="840">
        <v>366528.4</v>
      </c>
      <c r="T26" s="840">
        <v>6247711</v>
      </c>
      <c r="U26" s="840">
        <v>168975.1</v>
      </c>
    </row>
    <row r="27" spans="1:21" x14ac:dyDescent="0.2">
      <c r="A27" s="569" t="s">
        <v>25</v>
      </c>
      <c r="B27" s="122" t="s">
        <v>244</v>
      </c>
      <c r="C27" s="837">
        <v>8827013</v>
      </c>
      <c r="D27" s="565">
        <f t="shared" si="0"/>
        <v>8827013</v>
      </c>
      <c r="E27" s="572"/>
      <c r="F27" s="566" t="e">
        <f t="shared" si="1"/>
        <v>#REF!</v>
      </c>
      <c r="G27" s="837">
        <v>0</v>
      </c>
      <c r="H27" s="837">
        <v>7059580</v>
      </c>
      <c r="I27" s="837">
        <v>1060184</v>
      </c>
      <c r="J27" s="837">
        <v>8790999</v>
      </c>
      <c r="K27" s="837">
        <v>36014</v>
      </c>
      <c r="L27" s="838">
        <v>501.14</v>
      </c>
      <c r="M27" s="567" t="e">
        <f t="shared" si="2"/>
        <v>#REF!</v>
      </c>
      <c r="N27" s="567"/>
      <c r="O27" s="567"/>
      <c r="P27" s="840">
        <v>4423550.3</v>
      </c>
      <c r="Q27" s="840">
        <v>0</v>
      </c>
      <c r="R27" s="840">
        <v>3278315.2</v>
      </c>
      <c r="S27" s="840">
        <v>654470.6</v>
      </c>
      <c r="T27" s="840">
        <v>4395380.7</v>
      </c>
      <c r="U27" s="840">
        <v>28169.599999999999</v>
      </c>
    </row>
    <row r="28" spans="1:21" x14ac:dyDescent="0.2">
      <c r="A28" s="569" t="s">
        <v>26</v>
      </c>
      <c r="B28" s="122" t="s">
        <v>246</v>
      </c>
      <c r="C28" s="837">
        <v>2550640</v>
      </c>
      <c r="D28" s="565">
        <f t="shared" si="0"/>
        <v>2550640</v>
      </c>
      <c r="E28" s="572"/>
      <c r="F28" s="566" t="e">
        <f t="shared" si="1"/>
        <v>#REF!</v>
      </c>
      <c r="G28" s="837">
        <v>0</v>
      </c>
      <c r="H28" s="837">
        <v>2192260</v>
      </c>
      <c r="I28" s="837">
        <v>77223</v>
      </c>
      <c r="J28" s="837">
        <v>2532188</v>
      </c>
      <c r="K28" s="837">
        <v>18452</v>
      </c>
      <c r="L28" s="838">
        <v>1270.8900000000001</v>
      </c>
      <c r="M28" s="567" t="e">
        <f t="shared" si="2"/>
        <v>#REF!</v>
      </c>
      <c r="N28" s="567"/>
      <c r="O28" s="567"/>
      <c r="P28" s="840">
        <v>3241577.5</v>
      </c>
      <c r="Q28" s="840">
        <v>0</v>
      </c>
      <c r="R28" s="840">
        <v>2798528</v>
      </c>
      <c r="S28" s="840">
        <v>80101.2</v>
      </c>
      <c r="T28" s="840">
        <v>3223453.3</v>
      </c>
      <c r="U28" s="840">
        <v>18124.2</v>
      </c>
    </row>
    <row r="29" spans="1:21" ht="22.5" x14ac:dyDescent="0.2">
      <c r="A29" s="569" t="s">
        <v>339</v>
      </c>
      <c r="B29" s="122" t="s">
        <v>248</v>
      </c>
      <c r="C29" s="837">
        <v>110121</v>
      </c>
      <c r="D29" s="565">
        <f t="shared" si="0"/>
        <v>110121</v>
      </c>
      <c r="E29" s="572"/>
      <c r="F29" s="566" t="e">
        <f t="shared" si="1"/>
        <v>#REF!</v>
      </c>
      <c r="G29" s="837">
        <v>0</v>
      </c>
      <c r="H29" s="837">
        <v>97616</v>
      </c>
      <c r="I29" s="837">
        <v>458</v>
      </c>
      <c r="J29" s="837">
        <v>92633</v>
      </c>
      <c r="K29" s="837">
        <v>17488</v>
      </c>
      <c r="L29" s="838">
        <v>9980.91</v>
      </c>
      <c r="M29" s="567" t="e">
        <f t="shared" si="2"/>
        <v>#REF!</v>
      </c>
      <c r="N29" s="567"/>
      <c r="O29" s="567"/>
      <c r="P29" s="840">
        <v>1099107.6000000001</v>
      </c>
      <c r="Q29" s="840">
        <v>0</v>
      </c>
      <c r="R29" s="840">
        <v>971960.4</v>
      </c>
      <c r="S29" s="840">
        <v>4351.2</v>
      </c>
      <c r="T29" s="840">
        <v>878468.4</v>
      </c>
      <c r="U29" s="840">
        <v>220639.2</v>
      </c>
    </row>
    <row r="30" spans="1:21" ht="45" x14ac:dyDescent="0.2">
      <c r="A30" s="569" t="s">
        <v>340</v>
      </c>
      <c r="B30" s="122" t="s">
        <v>250</v>
      </c>
      <c r="C30" s="837">
        <v>1953094</v>
      </c>
      <c r="D30" s="565">
        <f t="shared" si="0"/>
        <v>1953094</v>
      </c>
      <c r="E30" s="572"/>
      <c r="F30" s="566" t="e">
        <f t="shared" si="1"/>
        <v>#REF!</v>
      </c>
      <c r="G30" s="837">
        <v>0</v>
      </c>
      <c r="H30" s="837">
        <v>1788388</v>
      </c>
      <c r="I30" s="837">
        <v>32753</v>
      </c>
      <c r="J30" s="837">
        <v>1916432</v>
      </c>
      <c r="K30" s="837">
        <v>36662</v>
      </c>
      <c r="L30" s="838">
        <v>2129.65</v>
      </c>
      <c r="M30" s="567" t="e">
        <f t="shared" si="2"/>
        <v>#REF!</v>
      </c>
      <c r="N30" s="567"/>
      <c r="O30" s="567"/>
      <c r="P30" s="840">
        <v>4159403.4</v>
      </c>
      <c r="Q30" s="840">
        <v>0</v>
      </c>
      <c r="R30" s="840">
        <v>3745949.3</v>
      </c>
      <c r="S30" s="840">
        <v>87510.2</v>
      </c>
      <c r="T30" s="840">
        <v>3988486.9</v>
      </c>
      <c r="U30" s="840">
        <v>170916.5</v>
      </c>
    </row>
    <row r="31" spans="1:21" ht="22.5" x14ac:dyDescent="0.2">
      <c r="A31" s="569" t="s">
        <v>341</v>
      </c>
      <c r="B31" s="122" t="s">
        <v>251</v>
      </c>
      <c r="C31" s="837">
        <v>3189175</v>
      </c>
      <c r="D31" s="565">
        <f t="shared" si="0"/>
        <v>3189175</v>
      </c>
      <c r="E31" s="572"/>
      <c r="F31" s="566" t="e">
        <f t="shared" si="1"/>
        <v>#REF!</v>
      </c>
      <c r="G31" s="837">
        <v>0</v>
      </c>
      <c r="H31" s="837">
        <v>2279539</v>
      </c>
      <c r="I31" s="837">
        <v>642693</v>
      </c>
      <c r="J31" s="837">
        <v>3157526</v>
      </c>
      <c r="K31" s="837">
        <v>31649</v>
      </c>
      <c r="L31" s="838">
        <v>490.06</v>
      </c>
      <c r="M31" s="567" t="e">
        <f t="shared" si="2"/>
        <v>#REF!</v>
      </c>
      <c r="N31" s="567"/>
      <c r="O31" s="567"/>
      <c r="P31" s="840">
        <v>1562885.1</v>
      </c>
      <c r="Q31" s="840">
        <v>0</v>
      </c>
      <c r="R31" s="840">
        <v>1115818</v>
      </c>
      <c r="S31" s="840">
        <v>315299.09999999998</v>
      </c>
      <c r="T31" s="840">
        <v>1543956.6</v>
      </c>
      <c r="U31" s="840">
        <v>18928.5</v>
      </c>
    </row>
    <row r="32" spans="1:21" ht="22.5" x14ac:dyDescent="0.2">
      <c r="A32" s="562" t="s">
        <v>342</v>
      </c>
      <c r="B32" s="122" t="s">
        <v>253</v>
      </c>
      <c r="C32" s="837">
        <v>6325947</v>
      </c>
      <c r="D32" s="565">
        <f t="shared" si="0"/>
        <v>6325947</v>
      </c>
      <c r="E32" s="572"/>
      <c r="F32" s="566" t="e">
        <f t="shared" si="1"/>
        <v>#REF!</v>
      </c>
      <c r="G32" s="837">
        <v>0</v>
      </c>
      <c r="H32" s="837">
        <v>5015589</v>
      </c>
      <c r="I32" s="837">
        <v>1062609</v>
      </c>
      <c r="J32" s="837">
        <v>6320031</v>
      </c>
      <c r="K32" s="837">
        <v>5916</v>
      </c>
      <c r="L32" s="838">
        <v>282.29000000000002</v>
      </c>
      <c r="M32" s="567" t="e">
        <f t="shared" si="2"/>
        <v>#REF!</v>
      </c>
      <c r="N32" s="567"/>
      <c r="O32" s="567"/>
      <c r="P32" s="840">
        <v>1785761.1</v>
      </c>
      <c r="Q32" s="840">
        <v>0</v>
      </c>
      <c r="R32" s="840">
        <v>1367309.4</v>
      </c>
      <c r="S32" s="840">
        <v>310623</v>
      </c>
      <c r="T32" s="840">
        <v>1782388.9</v>
      </c>
      <c r="U32" s="840">
        <v>3372.2</v>
      </c>
    </row>
    <row r="33" spans="1:21" x14ac:dyDescent="0.2">
      <c r="A33" s="562" t="s">
        <v>343</v>
      </c>
      <c r="B33" s="122" t="s">
        <v>255</v>
      </c>
      <c r="C33" s="837">
        <v>581913</v>
      </c>
      <c r="D33" s="565">
        <f t="shared" si="0"/>
        <v>581913</v>
      </c>
      <c r="E33" s="572"/>
      <c r="F33" s="566" t="e">
        <f t="shared" si="1"/>
        <v>#REF!</v>
      </c>
      <c r="G33" s="837">
        <v>0</v>
      </c>
      <c r="H33" s="837">
        <v>237217</v>
      </c>
      <c r="I33" s="837">
        <v>103368</v>
      </c>
      <c r="J33" s="837">
        <v>577476</v>
      </c>
      <c r="K33" s="837">
        <v>4437</v>
      </c>
      <c r="L33" s="838">
        <v>469.69</v>
      </c>
      <c r="M33" s="567" t="e">
        <f t="shared" si="2"/>
        <v>#REF!</v>
      </c>
      <c r="N33" s="567"/>
      <c r="O33" s="567"/>
      <c r="P33" s="840">
        <v>273316.90000000002</v>
      </c>
      <c r="Q33" s="840">
        <v>0</v>
      </c>
      <c r="R33" s="840">
        <v>118753.2</v>
      </c>
      <c r="S33" s="840">
        <v>59659.4</v>
      </c>
      <c r="T33" s="840">
        <v>270895.59999999998</v>
      </c>
      <c r="U33" s="840">
        <v>2421.3000000000002</v>
      </c>
    </row>
    <row r="34" spans="1:21" x14ac:dyDescent="0.2">
      <c r="A34" s="562" t="s">
        <v>344</v>
      </c>
      <c r="B34" s="122" t="s">
        <v>257</v>
      </c>
      <c r="C34" s="837">
        <v>383776</v>
      </c>
      <c r="D34" s="565">
        <f t="shared" si="0"/>
        <v>383776</v>
      </c>
      <c r="E34" s="572"/>
      <c r="F34" s="566" t="e">
        <f t="shared" si="1"/>
        <v>#REF!</v>
      </c>
      <c r="G34" s="837">
        <v>0</v>
      </c>
      <c r="H34" s="837">
        <v>145701</v>
      </c>
      <c r="I34" s="837">
        <v>231724</v>
      </c>
      <c r="J34" s="837">
        <v>382675</v>
      </c>
      <c r="K34" s="837">
        <v>1101</v>
      </c>
      <c r="L34" s="838">
        <v>354.56</v>
      </c>
      <c r="M34" s="567" t="e">
        <f t="shared" si="2"/>
        <v>#REF!</v>
      </c>
      <c r="N34" s="567"/>
      <c r="O34" s="567"/>
      <c r="P34" s="840">
        <v>136073.4</v>
      </c>
      <c r="Q34" s="840">
        <v>0</v>
      </c>
      <c r="R34" s="840">
        <v>80602</v>
      </c>
      <c r="S34" s="840">
        <v>52699.9</v>
      </c>
      <c r="T34" s="840">
        <v>135479.4</v>
      </c>
      <c r="U34" s="840">
        <v>594</v>
      </c>
    </row>
    <row r="35" spans="1:21" x14ac:dyDescent="0.2">
      <c r="A35" s="562" t="s">
        <v>335</v>
      </c>
      <c r="B35" s="122" t="s">
        <v>259</v>
      </c>
      <c r="C35" s="837">
        <v>5139328</v>
      </c>
      <c r="D35" s="565">
        <f t="shared" si="0"/>
        <v>5139328</v>
      </c>
      <c r="E35" s="572"/>
      <c r="F35" s="566" t="e">
        <f t="shared" si="1"/>
        <v>#REF!</v>
      </c>
      <c r="G35" s="837">
        <v>0</v>
      </c>
      <c r="H35" s="837">
        <v>4435895</v>
      </c>
      <c r="I35" s="837">
        <v>702419</v>
      </c>
      <c r="J35" s="837">
        <v>5132112</v>
      </c>
      <c r="K35" s="837">
        <v>7216</v>
      </c>
      <c r="L35" s="838">
        <v>294.08999999999997</v>
      </c>
      <c r="M35" s="567" t="e">
        <f t="shared" si="2"/>
        <v>#REF!</v>
      </c>
      <c r="N35" s="567"/>
      <c r="O35" s="567"/>
      <c r="P35" s="840">
        <v>1511428.6</v>
      </c>
      <c r="Q35" s="840">
        <v>0</v>
      </c>
      <c r="R35" s="840">
        <v>1318181.8999999999</v>
      </c>
      <c r="S35" s="840">
        <v>192964.2</v>
      </c>
      <c r="T35" s="840">
        <v>1509894.1</v>
      </c>
      <c r="U35" s="840">
        <v>1534.5</v>
      </c>
    </row>
    <row r="36" spans="1:21" ht="33.75" x14ac:dyDescent="0.2">
      <c r="A36" s="569" t="s">
        <v>563</v>
      </c>
      <c r="B36" s="122" t="s">
        <v>564</v>
      </c>
      <c r="C36" s="837">
        <v>16582838</v>
      </c>
      <c r="D36" s="565">
        <f t="shared" si="0"/>
        <v>16582838</v>
      </c>
      <c r="E36" s="572"/>
      <c r="F36" s="566" t="e">
        <f t="shared" si="1"/>
        <v>#REF!</v>
      </c>
      <c r="G36" s="837">
        <v>0</v>
      </c>
      <c r="H36" s="837">
        <v>14663183</v>
      </c>
      <c r="I36" s="837">
        <v>55496</v>
      </c>
      <c r="J36" s="837">
        <v>16543638</v>
      </c>
      <c r="K36" s="837">
        <v>39200</v>
      </c>
      <c r="L36" s="838">
        <v>1894.11</v>
      </c>
      <c r="M36" s="567" t="e">
        <f t="shared" si="2"/>
        <v>#REF!</v>
      </c>
      <c r="N36" s="567"/>
      <c r="O36" s="567"/>
      <c r="P36" s="840">
        <v>31409793.199999999</v>
      </c>
      <c r="Q36" s="840">
        <v>0</v>
      </c>
      <c r="R36" s="840">
        <v>27125989.300000001</v>
      </c>
      <c r="S36" s="840">
        <v>91975.2</v>
      </c>
      <c r="T36" s="840">
        <v>31326347</v>
      </c>
      <c r="U36" s="840">
        <v>83446.2</v>
      </c>
    </row>
    <row r="37" spans="1:21" x14ac:dyDescent="0.2">
      <c r="A37" s="562" t="s">
        <v>565</v>
      </c>
      <c r="B37" s="122" t="s">
        <v>566</v>
      </c>
      <c r="C37" s="837">
        <v>1478852</v>
      </c>
      <c r="D37" s="565">
        <f t="shared" si="0"/>
        <v>1478852</v>
      </c>
      <c r="E37" s="572"/>
      <c r="F37" s="566" t="e">
        <f t="shared" si="1"/>
        <v>#REF!</v>
      </c>
      <c r="G37" s="837">
        <v>0</v>
      </c>
      <c r="H37" s="837">
        <v>1312915</v>
      </c>
      <c r="I37" s="837">
        <v>206</v>
      </c>
      <c r="J37" s="837">
        <v>1474798</v>
      </c>
      <c r="K37" s="837">
        <v>4054</v>
      </c>
      <c r="L37" s="838">
        <v>2930.2</v>
      </c>
      <c r="M37" s="567" t="e">
        <f t="shared" si="2"/>
        <v>#REF!</v>
      </c>
      <c r="N37" s="567"/>
      <c r="O37" s="567"/>
      <c r="P37" s="840">
        <v>4333331.4000000004</v>
      </c>
      <c r="Q37" s="840">
        <v>0</v>
      </c>
      <c r="R37" s="840">
        <v>3787520.2</v>
      </c>
      <c r="S37" s="840">
        <v>471.9</v>
      </c>
      <c r="T37" s="840">
        <v>4318319.0999999996</v>
      </c>
      <c r="U37" s="840">
        <v>15012.3</v>
      </c>
    </row>
    <row r="38" spans="1:21" x14ac:dyDescent="0.2">
      <c r="A38" s="562" t="s">
        <v>567</v>
      </c>
      <c r="B38" s="122" t="s">
        <v>568</v>
      </c>
      <c r="C38" s="837">
        <v>9942544</v>
      </c>
      <c r="D38" s="565">
        <f t="shared" si="0"/>
        <v>9942544</v>
      </c>
      <c r="E38" s="572"/>
      <c r="F38" s="566" t="e">
        <f t="shared" si="1"/>
        <v>#REF!</v>
      </c>
      <c r="G38" s="837">
        <v>0</v>
      </c>
      <c r="H38" s="837">
        <v>8941924</v>
      </c>
      <c r="I38" s="837">
        <v>3251</v>
      </c>
      <c r="J38" s="837">
        <v>9925626</v>
      </c>
      <c r="K38" s="837">
        <v>16918</v>
      </c>
      <c r="L38" s="838">
        <v>2065.1799999999998</v>
      </c>
      <c r="M38" s="567" t="e">
        <f t="shared" si="2"/>
        <v>#REF!</v>
      </c>
      <c r="N38" s="567"/>
      <c r="O38" s="567"/>
      <c r="P38" s="840">
        <v>20533108.699999999</v>
      </c>
      <c r="Q38" s="840">
        <v>0</v>
      </c>
      <c r="R38" s="840">
        <v>18046305.300000001</v>
      </c>
      <c r="S38" s="840">
        <v>5074.7</v>
      </c>
      <c r="T38" s="840">
        <v>20494225.899999999</v>
      </c>
      <c r="U38" s="840">
        <v>38882.800000000003</v>
      </c>
    </row>
    <row r="39" spans="1:21" x14ac:dyDescent="0.2">
      <c r="A39" s="562" t="s">
        <v>569</v>
      </c>
      <c r="B39" s="122" t="s">
        <v>570</v>
      </c>
      <c r="C39" s="837">
        <v>2379793</v>
      </c>
      <c r="D39" s="565">
        <f t="shared" si="0"/>
        <v>2379793</v>
      </c>
      <c r="E39" s="572"/>
      <c r="F39" s="566" t="e">
        <f t="shared" si="1"/>
        <v>#REF!</v>
      </c>
      <c r="G39" s="837">
        <v>0</v>
      </c>
      <c r="H39" s="837">
        <v>2158335</v>
      </c>
      <c r="I39" s="837">
        <v>2374</v>
      </c>
      <c r="J39" s="837">
        <v>2376519</v>
      </c>
      <c r="K39" s="837">
        <v>3274</v>
      </c>
      <c r="L39" s="838">
        <v>1095.8</v>
      </c>
      <c r="M39" s="567" t="e">
        <f t="shared" si="2"/>
        <v>#REF!</v>
      </c>
      <c r="N39" s="567"/>
      <c r="O39" s="567"/>
      <c r="P39" s="840">
        <v>2607780.2000000002</v>
      </c>
      <c r="Q39" s="840">
        <v>0</v>
      </c>
      <c r="R39" s="840">
        <v>2226713.9</v>
      </c>
      <c r="S39" s="840">
        <v>5301.4</v>
      </c>
      <c r="T39" s="840">
        <v>2602344.7999999998</v>
      </c>
      <c r="U39" s="840">
        <v>5435.4</v>
      </c>
    </row>
    <row r="40" spans="1:21" x14ac:dyDescent="0.2">
      <c r="A40" s="562" t="s">
        <v>433</v>
      </c>
      <c r="B40" s="122" t="s">
        <v>571</v>
      </c>
      <c r="C40" s="837">
        <v>2781649</v>
      </c>
      <c r="D40" s="565">
        <f t="shared" si="0"/>
        <v>2781649</v>
      </c>
      <c r="E40" s="572"/>
      <c r="F40" s="566" t="e">
        <f t="shared" si="1"/>
        <v>#REF!</v>
      </c>
      <c r="G40" s="837">
        <v>0</v>
      </c>
      <c r="H40" s="837">
        <v>2250009</v>
      </c>
      <c r="I40" s="837">
        <v>49665</v>
      </c>
      <c r="J40" s="837">
        <v>2766695</v>
      </c>
      <c r="K40" s="837">
        <v>14954</v>
      </c>
      <c r="L40" s="838">
        <v>1414.83</v>
      </c>
      <c r="M40" s="567" t="e">
        <f t="shared" si="2"/>
        <v>#REF!</v>
      </c>
      <c r="N40" s="567"/>
      <c r="O40" s="567"/>
      <c r="P40" s="840">
        <v>3935572.9</v>
      </c>
      <c r="Q40" s="840">
        <v>0</v>
      </c>
      <c r="R40" s="840">
        <v>3065449.9</v>
      </c>
      <c r="S40" s="840">
        <v>81127.199999999997</v>
      </c>
      <c r="T40" s="840">
        <v>3911457.2</v>
      </c>
      <c r="U40" s="840">
        <v>24115.7</v>
      </c>
    </row>
    <row r="41" spans="1:21" ht="33.75" x14ac:dyDescent="0.2">
      <c r="A41" s="562" t="s">
        <v>572</v>
      </c>
      <c r="B41" s="122" t="s">
        <v>573</v>
      </c>
      <c r="C41" s="837">
        <v>16847</v>
      </c>
      <c r="D41" s="565">
        <f t="shared" si="0"/>
        <v>16847</v>
      </c>
      <c r="E41" s="572"/>
      <c r="F41" s="566" t="e">
        <f t="shared" si="1"/>
        <v>#REF!</v>
      </c>
      <c r="G41" s="837">
        <v>0</v>
      </c>
      <c r="H41" s="837">
        <v>16653</v>
      </c>
      <c r="I41" s="837">
        <v>0</v>
      </c>
      <c r="J41" s="837">
        <v>16838</v>
      </c>
      <c r="K41" s="837">
        <v>9</v>
      </c>
      <c r="L41" s="838">
        <v>2208.92</v>
      </c>
      <c r="M41" s="567" t="e">
        <f t="shared" si="2"/>
        <v>#REF!</v>
      </c>
      <c r="N41" s="567"/>
      <c r="O41" s="567"/>
      <c r="P41" s="840">
        <v>37213.699999999997</v>
      </c>
      <c r="Q41" s="840">
        <v>0</v>
      </c>
      <c r="R41" s="840">
        <v>36767.699999999997</v>
      </c>
      <c r="S41" s="840">
        <v>0</v>
      </c>
      <c r="T41" s="840">
        <v>37201.699999999997</v>
      </c>
      <c r="U41" s="840">
        <v>12</v>
      </c>
    </row>
    <row r="42" spans="1:21" ht="22.5" x14ac:dyDescent="0.2">
      <c r="A42" s="569" t="s">
        <v>345</v>
      </c>
      <c r="B42" s="122" t="s">
        <v>346</v>
      </c>
      <c r="C42" s="837">
        <v>4879340</v>
      </c>
      <c r="D42" s="565">
        <f t="shared" si="0"/>
        <v>4879340</v>
      </c>
      <c r="E42" s="572">
        <f>D42-D45</f>
        <v>4686264</v>
      </c>
      <c r="F42" s="566" t="e">
        <f t="shared" si="1"/>
        <v>#REF!</v>
      </c>
      <c r="G42" s="837">
        <v>0</v>
      </c>
      <c r="H42" s="837">
        <v>3912859</v>
      </c>
      <c r="I42" s="837">
        <v>407671</v>
      </c>
      <c r="J42" s="837">
        <v>4788507</v>
      </c>
      <c r="K42" s="837">
        <v>90833</v>
      </c>
      <c r="L42" s="838">
        <v>35043.82</v>
      </c>
      <c r="M42" s="567" t="e">
        <f t="shared" si="2"/>
        <v>#REF!</v>
      </c>
      <c r="N42" s="567">
        <f>P42-P45</f>
        <v>165382223.40000001</v>
      </c>
      <c r="O42" s="567" t="e">
        <f>N42/E42*1000/$Z$2/$Z$3</f>
        <v>#REF!</v>
      </c>
      <c r="P42" s="840">
        <v>170990691.59999999</v>
      </c>
      <c r="Q42" s="840">
        <v>0</v>
      </c>
      <c r="R42" s="840">
        <v>142356776.5</v>
      </c>
      <c r="S42" s="840">
        <v>8679640</v>
      </c>
      <c r="T42" s="840">
        <v>164084956.5</v>
      </c>
      <c r="U42" s="840">
        <v>6905735.0999999996</v>
      </c>
    </row>
    <row r="43" spans="1:21" x14ac:dyDescent="0.2">
      <c r="A43" s="569" t="s">
        <v>36</v>
      </c>
      <c r="B43" s="122" t="s">
        <v>310</v>
      </c>
      <c r="C43" s="837">
        <v>988603</v>
      </c>
      <c r="D43" s="565">
        <f t="shared" si="0"/>
        <v>988603</v>
      </c>
      <c r="E43" s="572"/>
      <c r="F43" s="566" t="e">
        <f t="shared" si="1"/>
        <v>#REF!</v>
      </c>
      <c r="G43" s="837">
        <v>0</v>
      </c>
      <c r="H43" s="837">
        <v>877337</v>
      </c>
      <c r="I43" s="837">
        <v>5833</v>
      </c>
      <c r="J43" s="837">
        <v>970137</v>
      </c>
      <c r="K43" s="837">
        <v>18466</v>
      </c>
      <c r="L43" s="838">
        <v>85505.44</v>
      </c>
      <c r="M43" s="567" t="e">
        <f t="shared" si="2"/>
        <v>#REF!</v>
      </c>
      <c r="N43" s="567"/>
      <c r="O43" s="567"/>
      <c r="P43" s="840">
        <v>84530929.700000003</v>
      </c>
      <c r="Q43" s="840">
        <v>0</v>
      </c>
      <c r="R43" s="840">
        <v>74295720.799999997</v>
      </c>
      <c r="S43" s="840">
        <v>999443.6</v>
      </c>
      <c r="T43" s="840">
        <v>80614289.900000006</v>
      </c>
      <c r="U43" s="840">
        <v>3916639.8</v>
      </c>
    </row>
    <row r="44" spans="1:21" x14ac:dyDescent="0.2">
      <c r="A44" s="569" t="s">
        <v>347</v>
      </c>
      <c r="B44" s="122" t="s">
        <v>311</v>
      </c>
      <c r="C44" s="837">
        <v>45100</v>
      </c>
      <c r="D44" s="565">
        <f t="shared" si="0"/>
        <v>45100</v>
      </c>
      <c r="E44" s="572"/>
      <c r="F44" s="566" t="e">
        <f t="shared" si="1"/>
        <v>#REF!</v>
      </c>
      <c r="G44" s="837">
        <v>0</v>
      </c>
      <c r="H44" s="837">
        <v>39990</v>
      </c>
      <c r="I44" s="837">
        <v>0</v>
      </c>
      <c r="J44" s="837">
        <v>40302</v>
      </c>
      <c r="K44" s="837">
        <v>4798</v>
      </c>
      <c r="L44" s="838">
        <v>122229.53</v>
      </c>
      <c r="M44" s="567" t="e">
        <f t="shared" si="2"/>
        <v>#REF!</v>
      </c>
      <c r="N44" s="567"/>
      <c r="O44" s="567"/>
      <c r="P44" s="840">
        <v>5512551.5999999996</v>
      </c>
      <c r="Q44" s="840">
        <v>0</v>
      </c>
      <c r="R44" s="840">
        <v>4866942.4000000004</v>
      </c>
      <c r="S44" s="840">
        <v>0</v>
      </c>
      <c r="T44" s="840">
        <v>4946605</v>
      </c>
      <c r="U44" s="840">
        <v>565946.6</v>
      </c>
    </row>
    <row r="45" spans="1:21" x14ac:dyDescent="0.2">
      <c r="A45" s="569" t="s">
        <v>34</v>
      </c>
      <c r="B45" s="122" t="s">
        <v>312</v>
      </c>
      <c r="C45" s="837">
        <v>193076</v>
      </c>
      <c r="D45" s="565">
        <f t="shared" si="0"/>
        <v>193076</v>
      </c>
      <c r="E45" s="572"/>
      <c r="F45" s="566" t="e">
        <f t="shared" si="1"/>
        <v>#REF!</v>
      </c>
      <c r="G45" s="837">
        <v>0</v>
      </c>
      <c r="H45" s="837">
        <v>127637</v>
      </c>
      <c r="I45" s="837">
        <v>51396</v>
      </c>
      <c r="J45" s="837">
        <v>191853</v>
      </c>
      <c r="K45" s="837">
        <v>1223</v>
      </c>
      <c r="L45" s="838">
        <v>29047.98</v>
      </c>
      <c r="M45" s="567" t="e">
        <f t="shared" si="2"/>
        <v>#REF!</v>
      </c>
      <c r="N45" s="567"/>
      <c r="O45" s="567"/>
      <c r="P45" s="840">
        <v>5608468.2000000002</v>
      </c>
      <c r="Q45" s="840">
        <v>0</v>
      </c>
      <c r="R45" s="840">
        <v>3365022.2</v>
      </c>
      <c r="S45" s="840">
        <v>1820842</v>
      </c>
      <c r="T45" s="840">
        <v>5572616.0999999996</v>
      </c>
      <c r="U45" s="840">
        <v>35852.1</v>
      </c>
    </row>
    <row r="46" spans="1:21" x14ac:dyDescent="0.2">
      <c r="A46" s="562" t="s">
        <v>348</v>
      </c>
      <c r="B46" s="122" t="s">
        <v>313</v>
      </c>
      <c r="C46" s="837">
        <v>3652561</v>
      </c>
      <c r="D46" s="565">
        <f t="shared" si="0"/>
        <v>3652561</v>
      </c>
      <c r="E46" s="572"/>
      <c r="F46" s="566" t="e">
        <f t="shared" si="1"/>
        <v>#REF!</v>
      </c>
      <c r="G46" s="837">
        <v>0</v>
      </c>
      <c r="H46" s="837">
        <v>2867895</v>
      </c>
      <c r="I46" s="837">
        <v>350442</v>
      </c>
      <c r="J46" s="837">
        <v>3586215</v>
      </c>
      <c r="K46" s="837">
        <v>66346</v>
      </c>
      <c r="L46" s="838">
        <v>20626.28</v>
      </c>
      <c r="M46" s="567" t="e">
        <f t="shared" si="2"/>
        <v>#REF!</v>
      </c>
      <c r="N46" s="567"/>
      <c r="O46" s="567"/>
      <c r="P46" s="840">
        <v>75338742.099999994</v>
      </c>
      <c r="Q46" s="840">
        <v>0</v>
      </c>
      <c r="R46" s="840">
        <v>59829091.100000001</v>
      </c>
      <c r="S46" s="840">
        <v>5859354.4000000004</v>
      </c>
      <c r="T46" s="840">
        <v>72951445.5</v>
      </c>
      <c r="U46" s="840">
        <v>2387296.6</v>
      </c>
    </row>
    <row r="47" spans="1:21" x14ac:dyDescent="0.2">
      <c r="A47" s="562" t="s">
        <v>349</v>
      </c>
      <c r="B47" s="122" t="s">
        <v>314</v>
      </c>
      <c r="C47" s="837">
        <v>18973</v>
      </c>
      <c r="D47" s="565">
        <f t="shared" si="0"/>
        <v>18973</v>
      </c>
      <c r="E47" s="572"/>
      <c r="F47" s="566" t="e">
        <f t="shared" si="1"/>
        <v>#REF!</v>
      </c>
      <c r="G47" s="837">
        <v>0</v>
      </c>
      <c r="H47" s="837">
        <v>15898</v>
      </c>
      <c r="I47" s="837">
        <v>39</v>
      </c>
      <c r="J47" s="837">
        <v>18887</v>
      </c>
      <c r="K47" s="837">
        <v>86</v>
      </c>
      <c r="L47" s="838">
        <v>148164.20000000001</v>
      </c>
      <c r="M47" s="567" t="e">
        <f t="shared" si="2"/>
        <v>#REF!</v>
      </c>
      <c r="N47" s="567"/>
      <c r="O47" s="567"/>
      <c r="P47" s="840">
        <v>2811119.4</v>
      </c>
      <c r="Q47" s="840">
        <v>0</v>
      </c>
      <c r="R47" s="840">
        <v>2355625.1</v>
      </c>
      <c r="S47" s="840">
        <v>7665.4</v>
      </c>
      <c r="T47" s="840">
        <v>2799909.6</v>
      </c>
      <c r="U47" s="840">
        <v>11209.8</v>
      </c>
    </row>
    <row r="48" spans="1:21" ht="22.5" x14ac:dyDescent="0.2">
      <c r="A48" s="569" t="s">
        <v>350</v>
      </c>
      <c r="B48" s="122" t="s">
        <v>351</v>
      </c>
      <c r="C48" s="837">
        <v>12045215</v>
      </c>
      <c r="D48" s="565">
        <f t="shared" si="0"/>
        <v>12045215</v>
      </c>
      <c r="E48" s="572">
        <f>D48-D50</f>
        <v>11728894</v>
      </c>
      <c r="F48" s="566" t="e">
        <f t="shared" si="1"/>
        <v>#REF!</v>
      </c>
      <c r="G48" s="837">
        <v>0</v>
      </c>
      <c r="H48" s="837">
        <v>8794347</v>
      </c>
      <c r="I48" s="837">
        <v>1818397</v>
      </c>
      <c r="J48" s="837">
        <v>11484501</v>
      </c>
      <c r="K48" s="837">
        <v>560714</v>
      </c>
      <c r="L48" s="838">
        <v>53724.81</v>
      </c>
      <c r="M48" s="567" t="e">
        <f t="shared" si="2"/>
        <v>#REF!</v>
      </c>
      <c r="N48" s="567">
        <f>P48-P50</f>
        <v>626811106.10000002</v>
      </c>
      <c r="O48" s="567" t="e">
        <f>N48/E48*1000/$Z$2/$Z$3</f>
        <v>#REF!</v>
      </c>
      <c r="P48" s="840">
        <v>647126935.60000002</v>
      </c>
      <c r="Q48" s="840">
        <v>0</v>
      </c>
      <c r="R48" s="840">
        <v>485823702.30000001</v>
      </c>
      <c r="S48" s="840">
        <v>85998734.099999994</v>
      </c>
      <c r="T48" s="840">
        <v>611272730.10000002</v>
      </c>
      <c r="U48" s="840">
        <v>35854205.5</v>
      </c>
    </row>
    <row r="49" spans="1:21" x14ac:dyDescent="0.2">
      <c r="A49" s="569" t="s">
        <v>36</v>
      </c>
      <c r="B49" s="122" t="s">
        <v>316</v>
      </c>
      <c r="C49" s="837">
        <v>716679</v>
      </c>
      <c r="D49" s="565">
        <f t="shared" si="0"/>
        <v>716679</v>
      </c>
      <c r="E49" s="572"/>
      <c r="F49" s="566" t="e">
        <f t="shared" si="1"/>
        <v>#REF!</v>
      </c>
      <c r="G49" s="837">
        <v>0</v>
      </c>
      <c r="H49" s="837">
        <v>613152</v>
      </c>
      <c r="I49" s="837">
        <v>14881</v>
      </c>
      <c r="J49" s="837">
        <v>695356</v>
      </c>
      <c r="K49" s="837">
        <v>21323</v>
      </c>
      <c r="L49" s="838">
        <v>106410.61</v>
      </c>
      <c r="M49" s="567" t="e">
        <f t="shared" si="2"/>
        <v>#REF!</v>
      </c>
      <c r="N49" s="567"/>
      <c r="O49" s="567"/>
      <c r="P49" s="840">
        <v>76262246.299999997</v>
      </c>
      <c r="Q49" s="840">
        <v>0</v>
      </c>
      <c r="R49" s="840">
        <v>64005529</v>
      </c>
      <c r="S49" s="840">
        <v>3001392.7</v>
      </c>
      <c r="T49" s="840">
        <v>73242453</v>
      </c>
      <c r="U49" s="840">
        <v>3019793.3</v>
      </c>
    </row>
    <row r="50" spans="1:21" x14ac:dyDescent="0.2">
      <c r="A50" s="569" t="s">
        <v>34</v>
      </c>
      <c r="B50" s="122" t="s">
        <v>317</v>
      </c>
      <c r="C50" s="837">
        <v>316321</v>
      </c>
      <c r="D50" s="565">
        <f t="shared" si="0"/>
        <v>316321</v>
      </c>
      <c r="E50" s="572"/>
      <c r="F50" s="566" t="e">
        <f t="shared" si="1"/>
        <v>#REF!</v>
      </c>
      <c r="G50" s="837">
        <v>0</v>
      </c>
      <c r="H50" s="837">
        <v>223592</v>
      </c>
      <c r="I50" s="837">
        <v>52867</v>
      </c>
      <c r="J50" s="837">
        <v>303267</v>
      </c>
      <c r="K50" s="837">
        <v>13054</v>
      </c>
      <c r="L50" s="838">
        <v>64225.36</v>
      </c>
      <c r="M50" s="567" t="e">
        <f t="shared" si="2"/>
        <v>#REF!</v>
      </c>
      <c r="N50" s="567"/>
      <c r="O50" s="567"/>
      <c r="P50" s="840">
        <v>20315829.5</v>
      </c>
      <c r="Q50" s="840">
        <v>0</v>
      </c>
      <c r="R50" s="840">
        <v>14500394.4</v>
      </c>
      <c r="S50" s="840">
        <v>3328904</v>
      </c>
      <c r="T50" s="840">
        <v>19490514</v>
      </c>
      <c r="U50" s="840">
        <v>825315.5</v>
      </c>
    </row>
    <row r="51" spans="1:21" x14ac:dyDescent="0.2">
      <c r="A51" s="562" t="s">
        <v>352</v>
      </c>
      <c r="B51" s="122" t="s">
        <v>318</v>
      </c>
      <c r="C51" s="837">
        <v>11012215</v>
      </c>
      <c r="D51" s="565">
        <f t="shared" si="0"/>
        <v>11012215</v>
      </c>
      <c r="E51" s="572"/>
      <c r="F51" s="566" t="e">
        <f t="shared" si="1"/>
        <v>#REF!</v>
      </c>
      <c r="G51" s="837">
        <v>0</v>
      </c>
      <c r="H51" s="837">
        <v>7957603</v>
      </c>
      <c r="I51" s="837">
        <v>1750649</v>
      </c>
      <c r="J51" s="837">
        <v>10485878</v>
      </c>
      <c r="K51" s="837">
        <v>526337</v>
      </c>
      <c r="L51" s="838">
        <v>49994.38</v>
      </c>
      <c r="M51" s="567" t="e">
        <f t="shared" si="2"/>
        <v>#REF!</v>
      </c>
      <c r="N51" s="567"/>
      <c r="O51" s="567"/>
      <c r="P51" s="840">
        <v>550548859.79999995</v>
      </c>
      <c r="Q51" s="840">
        <v>0</v>
      </c>
      <c r="R51" s="840">
        <v>407317778.89999998</v>
      </c>
      <c r="S51" s="840">
        <v>79668437.400000006</v>
      </c>
      <c r="T51" s="840">
        <v>518539763.10000002</v>
      </c>
      <c r="U51" s="840">
        <v>32009096.699999999</v>
      </c>
    </row>
    <row r="52" spans="1:21" x14ac:dyDescent="0.2">
      <c r="A52" s="562" t="s">
        <v>322</v>
      </c>
      <c r="B52" s="122" t="s">
        <v>319</v>
      </c>
      <c r="C52" s="837">
        <v>74048</v>
      </c>
      <c r="D52" s="565">
        <f t="shared" si="0"/>
        <v>74048</v>
      </c>
      <c r="E52" s="572"/>
      <c r="F52" s="566" t="e">
        <f t="shared" si="1"/>
        <v>#REF!</v>
      </c>
      <c r="G52" s="837">
        <v>0</v>
      </c>
      <c r="H52" s="837">
        <v>54205</v>
      </c>
      <c r="I52" s="837">
        <v>11372</v>
      </c>
      <c r="J52" s="837">
        <v>68816</v>
      </c>
      <c r="K52" s="837">
        <v>5232</v>
      </c>
      <c r="L52" s="838">
        <v>104009.72</v>
      </c>
      <c r="M52" s="567" t="e">
        <f t="shared" si="2"/>
        <v>#REF!</v>
      </c>
      <c r="N52" s="567"/>
      <c r="O52" s="567"/>
      <c r="P52" s="840">
        <v>7701711.5999999996</v>
      </c>
      <c r="Q52" s="840">
        <v>0</v>
      </c>
      <c r="R52" s="840">
        <v>5878892.4000000004</v>
      </c>
      <c r="S52" s="840">
        <v>968778.6</v>
      </c>
      <c r="T52" s="840">
        <v>7158173.2999999998</v>
      </c>
      <c r="U52" s="840">
        <v>543538.30000000005</v>
      </c>
    </row>
    <row r="53" spans="1:21" x14ac:dyDescent="0.2">
      <c r="A53" s="562" t="s">
        <v>349</v>
      </c>
      <c r="B53" s="122" t="s">
        <v>353</v>
      </c>
      <c r="C53" s="837">
        <v>10791</v>
      </c>
      <c r="D53" s="565">
        <f t="shared" si="0"/>
        <v>10791</v>
      </c>
      <c r="E53" s="572"/>
      <c r="F53" s="566" t="e">
        <f t="shared" si="1"/>
        <v>#REF!</v>
      </c>
      <c r="G53" s="837">
        <v>0</v>
      </c>
      <c r="H53" s="837">
        <v>9380</v>
      </c>
      <c r="I53" s="837">
        <v>212</v>
      </c>
      <c r="J53" s="837">
        <v>10589</v>
      </c>
      <c r="K53" s="837">
        <v>202</v>
      </c>
      <c r="L53" s="838">
        <v>51262.19</v>
      </c>
      <c r="M53" s="567" t="e">
        <f t="shared" si="2"/>
        <v>#REF!</v>
      </c>
      <c r="N53" s="567"/>
      <c r="O53" s="567"/>
      <c r="P53" s="840">
        <v>553170.30000000005</v>
      </c>
      <c r="Q53" s="840">
        <v>0</v>
      </c>
      <c r="R53" s="840">
        <v>489299.3</v>
      </c>
      <c r="S53" s="840">
        <v>8986.2000000000007</v>
      </c>
      <c r="T53" s="840">
        <v>541591.80000000005</v>
      </c>
      <c r="U53" s="840">
        <v>11578.5</v>
      </c>
    </row>
    <row r="55" spans="1:21" x14ac:dyDescent="0.2">
      <c r="D55" s="82"/>
      <c r="E55" s="82"/>
    </row>
  </sheetData>
  <mergeCells count="13">
    <mergeCell ref="P4:P5"/>
    <mergeCell ref="Q4:S4"/>
    <mergeCell ref="T4:U4"/>
    <mergeCell ref="A1:V1"/>
    <mergeCell ref="A2:A5"/>
    <mergeCell ref="B2:B5"/>
    <mergeCell ref="C2:U2"/>
    <mergeCell ref="C3:K3"/>
    <mergeCell ref="L3:L5"/>
    <mergeCell ref="P3:U3"/>
    <mergeCell ref="C4:C5"/>
    <mergeCell ref="G4:I4"/>
    <mergeCell ref="J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38425-D286-41E4-A485-91B1F2274B8D}">
  <dimension ref="A1:M11"/>
  <sheetViews>
    <sheetView workbookViewId="0">
      <selection activeCell="M3" sqref="M3"/>
    </sheetView>
  </sheetViews>
  <sheetFormatPr defaultRowHeight="12.75" x14ac:dyDescent="0.2"/>
  <cols>
    <col min="1" max="1" width="30.42578125" customWidth="1"/>
    <col min="2" max="2" width="17.85546875" customWidth="1"/>
    <col min="3" max="3" width="14.42578125" customWidth="1"/>
    <col min="4" max="4" width="20.140625" customWidth="1"/>
    <col min="5" max="5" width="11.140625" bestFit="1" customWidth="1"/>
    <col min="7" max="7" width="11.5703125" customWidth="1"/>
    <col min="8" max="8" width="10" bestFit="1" customWidth="1"/>
    <col min="9" max="9" width="11.5703125" customWidth="1"/>
    <col min="10" max="10" width="17.7109375" customWidth="1"/>
    <col min="11" max="11" width="14.42578125" customWidth="1"/>
    <col min="12" max="12" width="13.7109375" customWidth="1"/>
    <col min="13" max="13" width="18.85546875" customWidth="1"/>
  </cols>
  <sheetData>
    <row r="1" spans="1:13" x14ac:dyDescent="0.2">
      <c r="B1" t="s">
        <v>908</v>
      </c>
      <c r="C1" t="s">
        <v>909</v>
      </c>
      <c r="D1" t="s">
        <v>915</v>
      </c>
      <c r="E1" t="s">
        <v>431</v>
      </c>
      <c r="G1" t="s">
        <v>910</v>
      </c>
      <c r="I1" s="124" t="s">
        <v>917</v>
      </c>
      <c r="J1" s="124" t="s">
        <v>918</v>
      </c>
      <c r="L1" s="129" t="s">
        <v>377</v>
      </c>
      <c r="M1" t="s">
        <v>976</v>
      </c>
    </row>
    <row r="2" spans="1:13" x14ac:dyDescent="0.2">
      <c r="A2" t="s">
        <v>905</v>
      </c>
      <c r="B2" s="82" t="e">
        <f>+B4-B3</f>
        <v>#REF!</v>
      </c>
      <c r="C2" s="1270" t="e">
        <f>+C4-C3</f>
        <v>#REF!</v>
      </c>
      <c r="D2" s="82" t="e">
        <f>C2/0.57*1</f>
        <v>#REF!</v>
      </c>
      <c r="E2" s="1218">
        <f>+E4-E3</f>
        <v>217182607.62620002</v>
      </c>
      <c r="G2" s="82">
        <v>92006767</v>
      </c>
      <c r="H2">
        <f>+G2*2</f>
        <v>184013534</v>
      </c>
      <c r="I2" s="245">
        <f>I4-I3</f>
        <v>74574874</v>
      </c>
      <c r="J2" s="245">
        <f>I2/7*12</f>
        <v>127842641.14285715</v>
      </c>
      <c r="K2" t="e">
        <f>C2/D2</f>
        <v>#REF!</v>
      </c>
      <c r="L2" s="1270" t="e">
        <f>C2*2*1.1+M2</f>
        <v>#REF!</v>
      </c>
      <c r="M2">
        <v>682422</v>
      </c>
    </row>
    <row r="3" spans="1:13" x14ac:dyDescent="0.2">
      <c r="A3" t="s">
        <v>906</v>
      </c>
      <c r="B3" s="82" t="e">
        <f>+#REF!+#REF!+#REF!+#REF!+#REF!+#REF!</f>
        <v>#REF!</v>
      </c>
      <c r="C3" s="82" t="e">
        <f>+#REF!+#REF!+#REF!+#REF!+#REF!+#REF!</f>
        <v>#REF!</v>
      </c>
      <c r="D3" s="82" t="e">
        <f t="shared" ref="D3" si="0">+C3*2</f>
        <v>#REF!</v>
      </c>
      <c r="E3" s="82">
        <f>+'[2]СВОД и Численность'!$N$23+'[2]СВОД и Численность'!$N$24+'[2]СВОД и Численность'!$N$25+'[2]СВОД и Численность'!$N$26+'[2]СВОД и Численность'!$N$27+'[2]СВОД и Численность'!$N$28+'[2]СВОД и Численность'!$N$29+'[2]СВОД и Численность'!$N$30+'[2]СВОД и Численность'!$N$31</f>
        <v>39882574.193799995</v>
      </c>
      <c r="G3" s="82">
        <f>+'[5]СВОД и Численность 061023'!$J$20+'[5]СВОД и Численность 061023'!$J$21+'[5]СВОД и Численность 061023'!$J$22+'[5]СВОД и Численность 061023'!$J$23+'[5]СВОД и Численность 061023'!$J$24+'[5]СВОД и Численность 061023'!$J$25+'[5]СВОД и Численность 061023'!$J$26</f>
        <v>24961499</v>
      </c>
      <c r="I3" s="245">
        <v>33283525</v>
      </c>
      <c r="J3" s="245">
        <f t="shared" ref="J3:J4" si="1">I3/7*12</f>
        <v>57057471.428571425</v>
      </c>
      <c r="K3" t="e">
        <f>+C2/E2</f>
        <v>#REF!</v>
      </c>
      <c r="L3" s="129"/>
    </row>
    <row r="4" spans="1:13" s="189" customFormat="1" x14ac:dyDescent="0.2">
      <c r="A4" s="189" t="s">
        <v>907</v>
      </c>
      <c r="B4" s="215" t="e">
        <f>+#REF!</f>
        <v>#REF!</v>
      </c>
      <c r="C4" s="215" t="e">
        <f>+#REF!</f>
        <v>#REF!</v>
      </c>
      <c r="D4" s="215" t="e">
        <f>+D2+D3</f>
        <v>#REF!</v>
      </c>
      <c r="E4" s="215">
        <f>+'[2]СВОД и Численность'!$N$21</f>
        <v>257065181.82000002</v>
      </c>
      <c r="G4" s="215">
        <f>+G2+G3</f>
        <v>116968266</v>
      </c>
      <c r="I4" s="1215">
        <v>107858399</v>
      </c>
      <c r="J4" s="245">
        <f t="shared" si="1"/>
        <v>184900112.57142857</v>
      </c>
      <c r="K4" t="e">
        <f>+C3/E3</f>
        <v>#REF!</v>
      </c>
      <c r="L4" s="1271"/>
    </row>
    <row r="5" spans="1:13" x14ac:dyDescent="0.2">
      <c r="K5" t="e">
        <f>+C4/E4</f>
        <v>#REF!</v>
      </c>
      <c r="L5" s="129"/>
    </row>
    <row r="7" spans="1:13" x14ac:dyDescent="0.2">
      <c r="A7" t="s">
        <v>911</v>
      </c>
      <c r="B7" s="182">
        <f>'[2]СВОД и Численность'!$BC$21</f>
        <v>567137204.10000002</v>
      </c>
      <c r="D7" t="s">
        <v>919</v>
      </c>
    </row>
    <row r="8" spans="1:13" x14ac:dyDescent="0.2">
      <c r="A8" t="s">
        <v>912</v>
      </c>
      <c r="B8" s="182" t="e">
        <f>+#REF!</f>
        <v>#REF!</v>
      </c>
      <c r="M8">
        <v>1503512.5</v>
      </c>
    </row>
    <row r="9" spans="1:13" x14ac:dyDescent="0.2">
      <c r="A9" t="s">
        <v>913</v>
      </c>
      <c r="B9" s="1216" t="e">
        <f>+B7-B8</f>
        <v>#REF!</v>
      </c>
      <c r="C9" s="1217" t="e">
        <f>+ROUND(B9/E2*1000,1)</f>
        <v>#REF!</v>
      </c>
      <c r="D9" t="s">
        <v>920</v>
      </c>
      <c r="M9" t="e">
        <f>M8*1000/#REF!</f>
        <v>#REF!</v>
      </c>
    </row>
    <row r="10" spans="1:13" x14ac:dyDescent="0.2">
      <c r="A10" t="s">
        <v>914</v>
      </c>
      <c r="B10" s="82" t="e">
        <f>+D2</f>
        <v>#REF!</v>
      </c>
      <c r="C10" s="245" t="e">
        <f>C2*2</f>
        <v>#REF!</v>
      </c>
      <c r="D10" t="s">
        <v>916</v>
      </c>
    </row>
    <row r="11" spans="1:13" x14ac:dyDescent="0.2">
      <c r="B11" t="e">
        <f>+ROUND(B9/B10*1000,1)</f>
        <v>#REF!</v>
      </c>
      <c r="C11" s="1212" t="e">
        <f>ROUND(B9/C10*1000,1)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13</vt:i4>
      </vt:variant>
    </vt:vector>
  </HeadingPairs>
  <TitlesOfParts>
    <vt:vector size="38" baseType="lpstr">
      <vt:lpstr>62 форма 2000</vt:lpstr>
      <vt:lpstr>ФГУ 5 мес.2024 и 2023</vt:lpstr>
      <vt:lpstr>Репродуктивное</vt:lpstr>
      <vt:lpstr>!!! Фин обеспечение коротко +++</vt:lpstr>
      <vt:lpstr>!!!!Сравнение</vt:lpstr>
      <vt:lpstr>Индексация 2353 с уч роста зп</vt:lpstr>
      <vt:lpstr>Четвертый вариант ФГУ</vt:lpstr>
      <vt:lpstr>6 мес 2024 ТПГГ</vt:lpstr>
      <vt:lpstr>Обращения</vt:lpstr>
      <vt:lpstr>Центры здоровья</vt:lpstr>
      <vt:lpstr>СМП</vt:lpstr>
      <vt:lpstr>Прирост коротко</vt:lpstr>
      <vt:lpstr>Прирост</vt:lpstr>
      <vt:lpstr>Приложение 2 </vt:lpstr>
      <vt:lpstr>Дисп и ПМО без факта</vt:lpstr>
      <vt:lpstr>Репродуктивное зд</vt:lpstr>
      <vt:lpstr>!!!Для доклада коротко</vt:lpstr>
      <vt:lpstr>Показатели</vt:lpstr>
      <vt:lpstr>Для Председателя сравнение</vt:lpstr>
      <vt:lpstr>НФЗ и БС</vt:lpstr>
      <vt:lpstr>Перс пом нов</vt:lpstr>
      <vt:lpstr>Макроэкономические показатели</vt:lpstr>
      <vt:lpstr>сравнение с ПГГ 2022</vt:lpstr>
      <vt:lpstr>Школа СД</vt:lpstr>
      <vt:lpstr>62 форма 9000 Доли</vt:lpstr>
      <vt:lpstr>'62 форма 9000 Доли'!ID_5373923</vt:lpstr>
      <vt:lpstr>'62 форма 9000 Доли'!ID_5373924</vt:lpstr>
      <vt:lpstr>'62 форма 9000 Доли'!ID_9003604</vt:lpstr>
      <vt:lpstr>'!!!!Сравнение'!Заголовки_для_печати</vt:lpstr>
      <vt:lpstr>'!!!Для доклада коротко'!Заголовки_для_печати</vt:lpstr>
      <vt:lpstr>'Для Председателя сравнение'!Заголовки_для_печати</vt:lpstr>
      <vt:lpstr>'Индексация 2353 с уч роста зп'!Заголовки_для_печати</vt:lpstr>
      <vt:lpstr>'Приложение 2 '!Заголовки_для_печати</vt:lpstr>
      <vt:lpstr>ке</vt:lpstr>
      <vt:lpstr>'!!!!Сравнение'!Область_печати</vt:lpstr>
      <vt:lpstr>'Индексация 2353 с уч роста зп'!Область_печати</vt:lpstr>
      <vt:lpstr>'НФЗ и БС'!Область_печати</vt:lpstr>
      <vt:lpstr>'Приложение 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Богатикова Жанна Сергеевна</dc:creator>
  <cp:lastModifiedBy>Шеенко Ольга Николаевна</cp:lastModifiedBy>
  <cp:lastPrinted>2024-10-10T22:36:09Z</cp:lastPrinted>
  <dcterms:created xsi:type="dcterms:W3CDTF">2019-02-05T04:49:50Z</dcterms:created>
  <dcterms:modified xsi:type="dcterms:W3CDTF">2024-10-11T16:39:17Z</dcterms:modified>
</cp:coreProperties>
</file>